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'Sheet1'!$A$1:$J$88</definedName>
    <definedName name="_xlnm.Print_Area" localSheetId="1">'Sheet2'!$A$1:$H$42</definedName>
  </definedNames>
  <calcPr fullCalcOnLoad="1"/>
</workbook>
</file>

<file path=xl/sharedStrings.xml><?xml version="1.0" encoding="utf-8"?>
<sst xmlns="http://schemas.openxmlformats.org/spreadsheetml/2006/main" count="172" uniqueCount="159">
  <si>
    <t xml:space="preserve"> IUFR 1A-FOR FOURTH QUARTER-2010-2011</t>
  </si>
  <si>
    <t>2010-11</t>
  </si>
  <si>
    <t>IUFR 1A</t>
  </si>
  <si>
    <t xml:space="preserve">TAMIL NADU HEALTH SYSTEMS PROJECT                                                     </t>
  </si>
  <si>
    <t>SOURCES AND USES OF FUND STATEMENT-CONSOLIDATION</t>
  </si>
  <si>
    <t>Currency: in Indian Rupees in Lakhs</t>
  </si>
  <si>
    <t>Details</t>
  </si>
  <si>
    <t>Ivth  Quarter of IDA 4756 (1.01.2011 to 31.03.2011)</t>
  </si>
  <si>
    <t>Year to Date of IDA 4756 (1.7.2010 to 31.03.2011)</t>
  </si>
  <si>
    <t>Cummulative to date for IDA 4756 (27.1.2005 to 31.03.2011)</t>
  </si>
  <si>
    <t>Cummulative expenses of IDA 4018 &amp; 4756 (27.1.2005 to 31.03.2011</t>
  </si>
  <si>
    <t>Budget</t>
  </si>
  <si>
    <t>Actual</t>
  </si>
  <si>
    <t>PAD</t>
  </si>
  <si>
    <t>Variance</t>
  </si>
  <si>
    <t>Sources of Funds</t>
  </si>
  <si>
    <t>1. Opening Balance</t>
  </si>
  <si>
    <t xml:space="preserve">          -   Bank Balance</t>
  </si>
  <si>
    <t>Advances:</t>
  </si>
  <si>
    <t xml:space="preserve"> -  Advances with TNMSC</t>
  </si>
  <si>
    <t xml:space="preserve"> -  Advances with ELCOT</t>
  </si>
  <si>
    <t xml:space="preserve"> -  Advances in PMU &amp; DPMUs</t>
  </si>
  <si>
    <t xml:space="preserve">Total </t>
  </si>
  <si>
    <t>2.Inflow:</t>
  </si>
  <si>
    <t xml:space="preserve">        -   towards Civil Works -through LOC</t>
  </si>
  <si>
    <t xml:space="preserve">        -   to TNMSC (advance to PD Account) </t>
  </si>
  <si>
    <t xml:space="preserve">        -   to ELCOT (advance to PD Account) </t>
  </si>
  <si>
    <t xml:space="preserve">        -   to Society advance through Treasury</t>
  </si>
  <si>
    <t xml:space="preserve">        -  Contract Staff - directly thru Treasury</t>
  </si>
  <si>
    <t>3.Other Receipts</t>
  </si>
  <si>
    <t xml:space="preserve">        -   Interest received from bank</t>
  </si>
  <si>
    <t xml:space="preserve">        -   Miscellaneous Receipts</t>
  </si>
  <si>
    <t>4.Total Inflow (2+3)</t>
  </si>
  <si>
    <t>Total sources of funds (1+4)</t>
  </si>
  <si>
    <t>Uses of Funds</t>
  </si>
  <si>
    <t>Expenditure On</t>
  </si>
  <si>
    <t xml:space="preserve">1.Civil Works </t>
  </si>
  <si>
    <t xml:space="preserve">        -Major*</t>
  </si>
  <si>
    <t>2(a)Goods &amp; Equipment-(Assets)</t>
  </si>
  <si>
    <t xml:space="preserve">     - Hospitals</t>
  </si>
  <si>
    <t xml:space="preserve">     - PMU Office</t>
  </si>
  <si>
    <t xml:space="preserve">     - DPMU's Offices</t>
  </si>
  <si>
    <t>2(b)-Equipments-Computer &amp; its peripheral procured by ELCOT</t>
  </si>
  <si>
    <t xml:space="preserve">                    - hospitals</t>
  </si>
  <si>
    <t>3.Services:(Society)</t>
  </si>
  <si>
    <t xml:space="preserve">        - NGO/ Private Services for service delivery</t>
  </si>
  <si>
    <t xml:space="preserve">        - Training &amp; Workshops</t>
  </si>
  <si>
    <t xml:space="preserve">        - Consultanies</t>
  </si>
  <si>
    <t xml:space="preserve">        - IEC (etc)</t>
  </si>
  <si>
    <t>4. Operating Costs (PMU &amp; DPMU)**</t>
  </si>
  <si>
    <t xml:space="preserve">5(a) Contractual Staff Salaries (through Treasuries)^ </t>
  </si>
  <si>
    <t>5(b) Salaries (through Society)</t>
  </si>
  <si>
    <t>6.Soft activities Total (3+4+5)</t>
  </si>
  <si>
    <t xml:space="preserve"> Adjustment (Refer Note No.6)</t>
  </si>
  <si>
    <t>7.Total Eligible Expenditure (1+2+6)</t>
  </si>
  <si>
    <t>8.Expenditure not eligible for reimbursement ***</t>
  </si>
  <si>
    <t>9.Refunds</t>
  </si>
  <si>
    <t xml:space="preserve">       - from TNMSC to GoTN</t>
  </si>
  <si>
    <t xml:space="preserve">       - from ELCOT to GoTN</t>
  </si>
  <si>
    <t xml:space="preserve">       - from Temporary Advances  to GoTN</t>
  </si>
  <si>
    <t>Total Refunds</t>
  </si>
  <si>
    <t>10.Closing Balance</t>
  </si>
  <si>
    <t xml:space="preserve">          - Cash</t>
  </si>
  <si>
    <t xml:space="preserve">         - Advances</t>
  </si>
  <si>
    <t xml:space="preserve">               - with TNMSC</t>
  </si>
  <si>
    <t xml:space="preserve">               - with ELCOT</t>
  </si>
  <si>
    <t xml:space="preserve">               - Others (PMU &amp; DPMU)</t>
  </si>
  <si>
    <t xml:space="preserve">    - Bank Balance</t>
  </si>
  <si>
    <t>Total Closing Balance</t>
  </si>
  <si>
    <t>Total Uses of Funds (7+8+9+10)</t>
  </si>
  <si>
    <t>Summary for Reimbursement</t>
  </si>
  <si>
    <t>Category Description</t>
  </si>
  <si>
    <t>Category</t>
  </si>
  <si>
    <t>Eligible Expenditure</t>
  </si>
  <si>
    <t>Reimbursement %</t>
  </si>
  <si>
    <t>Reimbursement</t>
  </si>
  <si>
    <t>Civil works, Goods, Services, Consultancies, NGOSs, Training &amp; Workshops, Contractuals staff salaries &amp; Operating costs from Additional Financing -Credit No.4756-IN</t>
  </si>
  <si>
    <t>Total</t>
  </si>
  <si>
    <t>Notes</t>
  </si>
  <si>
    <r>
      <t xml:space="preserve">*Civil works includes petty supervision charges,contribution to Labour Welfare fund,cost of advertisements for tender docs </t>
    </r>
    <r>
      <rPr>
        <b/>
        <i/>
        <sz val="12"/>
        <rFont val="Times New Roman"/>
        <family val="1"/>
      </rPr>
      <t xml:space="preserve">w.e.f April 1, 2010 </t>
    </r>
  </si>
  <si>
    <r>
      <t xml:space="preserve">** Operating costs includes salary of regular govt staff deputed to the PMU </t>
    </r>
    <r>
      <rPr>
        <b/>
        <i/>
        <sz val="12"/>
        <rFont val="Times New Roman"/>
        <family val="1"/>
      </rPr>
      <t>w.e.f April 1, 2010 after amendment to DCA</t>
    </r>
  </si>
  <si>
    <r>
      <t xml:space="preserve">*** in the original project, salaries of regular staff deputed to the PMU and petty supervision charges (non contractual costs in civil works) were not reimbursable </t>
    </r>
    <r>
      <rPr>
        <b/>
        <i/>
        <sz val="12"/>
        <rFont val="Times New Roman"/>
        <family val="1"/>
      </rPr>
      <t>till March 31 2010</t>
    </r>
  </si>
  <si>
    <t>The departmental expenditure figures were reconciled with that of Accountant General upto the month of March 2011.</t>
  </si>
  <si>
    <t xml:space="preserve"> The expenditures incurred by the DPMUs (29 Nos) for the month of January 2011 to March  2011 are  duly reconciled and   included in this IUFR for reimbursement. </t>
  </si>
  <si>
    <t>The expenditure of Rs.60.99 lacs incurred during the previous year on Mobile Outreach Services (non-project related) was erroneously claimed from the Bank in the SOEs of FY 2009-10.   The same has been adjusted from the Sep 2010 IUFR.</t>
  </si>
  <si>
    <r>
      <t>The NRHM funds of Rs 65.17 lacs (CTF)+ Rs.30.76 lakhs (Mobile Outreach) received by the society from GoTN during the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 of 2010 towards incurring of expenditures on CTF operation &amp; Tribal Mobile Outreach services (non-project related) are excluded from the opening and closing bank balances</t>
    </r>
  </si>
  <si>
    <t>A sum of Rs.109.77 lacs from Society funds is included in the closing balance of TNMSC</t>
  </si>
  <si>
    <t>Funds released to Ms Elcot from Society Grants,thus reflected in closing balance only</t>
  </si>
  <si>
    <t>The reimbursement confined to IDA Cr.4756-IN only for the expenditure incurred under 4th quarter q/e 31.03.2011</t>
  </si>
  <si>
    <t>We certify that the above figures are based on &amp; in agreement with the monthly/quarterly financial reports from the various implementing units &amp; expenditures at the PMU/DPMUs.   Necessary supporting documents (contracts, running bills, M-Books, invoices, vouchers etc) are retained at the various implementing units and are available for review.</t>
  </si>
  <si>
    <t>Financial Advisor &amp; Chief Accounts Officer</t>
  </si>
  <si>
    <t>Project Director</t>
  </si>
  <si>
    <t>TNSHP</t>
  </si>
  <si>
    <t>TNHSP</t>
  </si>
  <si>
    <t>IDA  4756-IN</t>
  </si>
  <si>
    <t>IUFR 1B</t>
  </si>
  <si>
    <t>TAMIL NADU HEALTH SYSTEMS  PROJECT</t>
  </si>
  <si>
    <t xml:space="preserve"> FUNDS STATEMENT BY COMPONENTS &amp; SUB COMPOENTS</t>
  </si>
  <si>
    <t>Currency: In Lakhs</t>
  </si>
  <si>
    <t>S.No</t>
  </si>
  <si>
    <t>Component/Sub Component</t>
  </si>
  <si>
    <t>Current Quarter</t>
  </si>
  <si>
    <t>Year to Date (1.1.2011 to 31.03.2011)</t>
  </si>
  <si>
    <t>Cumulative to Date (27.1.2005 to 31.03.2011</t>
  </si>
  <si>
    <t>Original</t>
  </si>
  <si>
    <t>Add'n Financing</t>
  </si>
  <si>
    <t>Component I: Increasing Access to and Utilization of Services</t>
  </si>
  <si>
    <t>Sub-Component 1. Reducing Maternal/Neo Natal Mortality</t>
  </si>
  <si>
    <t>Sub Component 2: Improving Tribal Health</t>
  </si>
  <si>
    <t>Sub Component 3. Facilitating Use of Hospitals by the poor and   the Disadvantaged</t>
  </si>
  <si>
    <t>Component II: NCD Prevention &amp; Control</t>
  </si>
  <si>
    <t>Sub-Component 1 Health Promotion</t>
  </si>
  <si>
    <t>Sub Component 2.NCD Interventions</t>
  </si>
  <si>
    <t>Sub-Component 3. Accident Prevention and Treatment*</t>
  </si>
  <si>
    <t>Component III: Building Capacity for Oversight and Management of Health System</t>
  </si>
  <si>
    <t>Sub Component1. Monitoring and Evaluation by Strengthening HMIS</t>
  </si>
  <si>
    <t>Sub-Component 2. Improving Quality of Care</t>
  </si>
  <si>
    <t>Sub-Component 3. Health Care Waste Management</t>
  </si>
  <si>
    <t>Sub-Component 4. Capacity building for Strategy Development and Implementation</t>
  </si>
  <si>
    <t>(i)    Strategic Planning</t>
  </si>
  <si>
    <t>(ii)   PPP Management</t>
  </si>
  <si>
    <t>(iv)  Project Management</t>
  </si>
  <si>
    <t>Component IV: Improving Effectiveness &amp; Efficiency of Public Sector to deliver essential services</t>
  </si>
  <si>
    <t>Sub-Component 1. Rationalization of secondary care facilities*</t>
  </si>
  <si>
    <t>Sub-Component 2 Rationalizing of Equipment</t>
  </si>
  <si>
    <t>Sub-Component 3 Human Resource Planning &amp; Development</t>
  </si>
  <si>
    <t>Sub Component 4.Enhancement of Hospital Facilities*</t>
  </si>
  <si>
    <t>Price Contingencies &amp; Physical contingencies</t>
  </si>
  <si>
    <t>Project Director, TNHSP</t>
  </si>
  <si>
    <t>Tamil Nadu Health Systems Project</t>
  </si>
  <si>
    <t>IDA-4756-IN</t>
  </si>
  <si>
    <t>Interim Unaudited Financial Report for the period 1.01.2011 to 31.03.2011</t>
  </si>
  <si>
    <t xml:space="preserve">Expenditure on Prior Review Contracts </t>
  </si>
  <si>
    <t>Rs Lacs</t>
  </si>
  <si>
    <t>Contract No</t>
  </si>
  <si>
    <t>Date</t>
  </si>
  <si>
    <t>Contractors Name</t>
  </si>
  <si>
    <t>Contract value</t>
  </si>
  <si>
    <t>Expenditure during the Quarter</t>
  </si>
  <si>
    <t>Cumm. Expenditure</t>
  </si>
  <si>
    <t>TNMSC expenditure of Rs.88.47 lakh ,now added  as per the Internal Auditor pointed out in 31.03.2011 - IAR</t>
  </si>
  <si>
    <t>A sum Rs.17.95 lakhs reduced in the IUFR under IOC as this expenditure already accounted under TNMSC Accounts - 31.03.2011 - IAR</t>
  </si>
  <si>
    <t>Goods</t>
  </si>
  <si>
    <t xml:space="preserve">     - IEC Goods</t>
  </si>
  <si>
    <t>P2H1/10-11</t>
  </si>
  <si>
    <t>P2/10-11</t>
  </si>
  <si>
    <t>M/d HCL Inofsystems pvt ltd</t>
  </si>
  <si>
    <t>M/s Ergomaxx (india) Pvt Ltd</t>
  </si>
  <si>
    <t>A P2H2/10-11</t>
  </si>
  <si>
    <t>B P2H2/10-11</t>
  </si>
  <si>
    <t>P5H2/2010-11</t>
  </si>
  <si>
    <t>M/s RK TECH Hard and Soft Pvt Ltd</t>
  </si>
  <si>
    <t>M/s Origin IT and Facility Solution Pvt Ltd</t>
  </si>
  <si>
    <t>M/s Accel Frontline Limited</t>
  </si>
  <si>
    <t>WB-72</t>
  </si>
  <si>
    <t>WB-73</t>
  </si>
  <si>
    <t>WB-81/1</t>
  </si>
  <si>
    <t>WB-81/2</t>
  </si>
  <si>
    <t>WB-87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</si>
</sst>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* #,##0_);_(* \(#,##0\);_(* \-??_);_(@_)"/>
    <numFmt numFmtId="167" formatCode="0.000"/>
    <numFmt numFmtId="168" formatCode="mmmm\ d&quot;, &quot;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Utopia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6" xfId="55" applyFont="1" applyBorder="1" applyAlignment="1">
      <alignment horizontal="center" vertical="top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55" applyFont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1" xfId="55" applyFont="1" applyBorder="1" applyAlignment="1">
      <alignment vertical="top" wrapText="1"/>
      <protection/>
    </xf>
    <xf numFmtId="164" fontId="3" fillId="0" borderId="0" xfId="42" applyNumberFormat="1" applyFont="1" applyBorder="1" applyAlignment="1">
      <alignment/>
    </xf>
    <xf numFmtId="164" fontId="3" fillId="0" borderId="22" xfId="42" applyNumberFormat="1" applyFont="1" applyFill="1" applyBorder="1" applyAlignment="1" applyProtection="1">
      <alignment/>
      <protection/>
    </xf>
    <xf numFmtId="164" fontId="3" fillId="0" borderId="23" xfId="42" applyNumberFormat="1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 applyProtection="1">
      <alignment/>
      <protection/>
    </xf>
    <xf numFmtId="164" fontId="3" fillId="0" borderId="24" xfId="42" applyNumberFormat="1" applyFont="1" applyBorder="1" applyAlignment="1">
      <alignment/>
    </xf>
    <xf numFmtId="0" fontId="6" fillId="0" borderId="21" xfId="55" applyFont="1" applyBorder="1" applyAlignment="1">
      <alignment horizontal="left" vertical="top" wrapText="1" indent="2"/>
      <protection/>
    </xf>
    <xf numFmtId="0" fontId="2" fillId="0" borderId="11" xfId="0" applyFont="1" applyBorder="1" applyAlignment="1">
      <alignment horizontal="left"/>
    </xf>
    <xf numFmtId="164" fontId="3" fillId="0" borderId="25" xfId="42" applyNumberFormat="1" applyFont="1" applyBorder="1" applyAlignment="1">
      <alignment/>
    </xf>
    <xf numFmtId="164" fontId="3" fillId="0" borderId="26" xfId="42" applyNumberFormat="1" applyFont="1" applyFill="1" applyBorder="1" applyAlignment="1" applyProtection="1">
      <alignment/>
      <protection/>
    </xf>
    <xf numFmtId="164" fontId="3" fillId="0" borderId="27" xfId="42" applyNumberFormat="1" applyFont="1" applyFill="1" applyBorder="1" applyAlignment="1" applyProtection="1">
      <alignment/>
      <protection/>
    </xf>
    <xf numFmtId="164" fontId="3" fillId="0" borderId="25" xfId="42" applyNumberFormat="1" applyFont="1" applyFill="1" applyBorder="1" applyAlignment="1" applyProtection="1">
      <alignment/>
      <protection/>
    </xf>
    <xf numFmtId="164" fontId="3" fillId="0" borderId="28" xfId="42" applyNumberFormat="1" applyFont="1" applyFill="1" applyBorder="1" applyAlignment="1" applyProtection="1">
      <alignment/>
      <protection/>
    </xf>
    <xf numFmtId="164" fontId="3" fillId="0" borderId="10" xfId="42" applyNumberFormat="1" applyFont="1" applyBorder="1" applyAlignment="1">
      <alignment/>
    </xf>
    <xf numFmtId="0" fontId="2" fillId="0" borderId="16" xfId="0" applyFont="1" applyBorder="1" applyAlignment="1">
      <alignment/>
    </xf>
    <xf numFmtId="164" fontId="3" fillId="0" borderId="17" xfId="42" applyNumberFormat="1" applyFont="1" applyBorder="1" applyAlignment="1">
      <alignment/>
    </xf>
    <xf numFmtId="164" fontId="3" fillId="0" borderId="18" xfId="42" applyNumberFormat="1" applyFont="1" applyFill="1" applyBorder="1" applyAlignment="1" applyProtection="1">
      <alignment/>
      <protection/>
    </xf>
    <xf numFmtId="164" fontId="3" fillId="0" borderId="19" xfId="42" applyNumberFormat="1" applyFont="1" applyFill="1" applyBorder="1" applyAlignment="1" applyProtection="1">
      <alignment/>
      <protection/>
    </xf>
    <xf numFmtId="164" fontId="3" fillId="0" borderId="17" xfId="42" applyNumberFormat="1" applyFont="1" applyFill="1" applyBorder="1" applyAlignment="1" applyProtection="1">
      <alignment/>
      <protection/>
    </xf>
    <xf numFmtId="164" fontId="3" fillId="0" borderId="29" xfId="42" applyNumberFormat="1" applyFont="1" applyFill="1" applyBorder="1" applyAlignment="1" applyProtection="1">
      <alignment/>
      <protection/>
    </xf>
    <xf numFmtId="164" fontId="3" fillId="0" borderId="30" xfId="42" applyNumberFormat="1" applyFont="1" applyFill="1" applyBorder="1" applyAlignment="1" applyProtection="1">
      <alignment/>
      <protection/>
    </xf>
    <xf numFmtId="164" fontId="3" fillId="0" borderId="31" xfId="42" applyNumberFormat="1" applyFont="1" applyFill="1" applyBorder="1" applyAlignment="1" applyProtection="1">
      <alignment/>
      <protection/>
    </xf>
    <xf numFmtId="164" fontId="3" fillId="0" borderId="32" xfId="42" applyNumberFormat="1" applyFont="1" applyFill="1" applyBorder="1" applyAlignment="1" applyProtection="1">
      <alignment/>
      <protection/>
    </xf>
    <xf numFmtId="164" fontId="3" fillId="0" borderId="33" xfId="42" applyNumberFormat="1" applyFont="1" applyFill="1" applyBorder="1" applyAlignment="1" applyProtection="1">
      <alignment/>
      <protection/>
    </xf>
    <xf numFmtId="164" fontId="3" fillId="0" borderId="24" xfId="42" applyNumberFormat="1" applyFont="1" applyFill="1" applyBorder="1" applyAlignment="1" applyProtection="1">
      <alignment/>
      <protection/>
    </xf>
    <xf numFmtId="0" fontId="6" fillId="0" borderId="21" xfId="55" applyFont="1" applyBorder="1" applyAlignment="1">
      <alignment horizontal="left" vertical="top" wrapText="1"/>
      <protection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164" fontId="3" fillId="0" borderId="13" xfId="42" applyNumberFormat="1" applyFont="1" applyBorder="1" applyAlignment="1">
      <alignment/>
    </xf>
    <xf numFmtId="164" fontId="3" fillId="0" borderId="14" xfId="42" applyNumberFormat="1" applyFont="1" applyFill="1" applyBorder="1" applyAlignment="1" applyProtection="1">
      <alignment/>
      <protection/>
    </xf>
    <xf numFmtId="164" fontId="3" fillId="0" borderId="34" xfId="42" applyNumberFormat="1" applyFont="1" applyFill="1" applyBorder="1" applyAlignment="1" applyProtection="1">
      <alignment/>
      <protection/>
    </xf>
    <xf numFmtId="164" fontId="3" fillId="0" borderId="35" xfId="42" applyNumberFormat="1" applyFont="1" applyFill="1" applyBorder="1" applyAlignment="1" applyProtection="1">
      <alignment/>
      <protection/>
    </xf>
    <xf numFmtId="164" fontId="3" fillId="0" borderId="36" xfId="42" applyNumberFormat="1" applyFont="1" applyFill="1" applyBorder="1" applyAlignment="1" applyProtection="1">
      <alignment/>
      <protection/>
    </xf>
    <xf numFmtId="164" fontId="3" fillId="0" borderId="37" xfId="42" applyNumberFormat="1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/>
    </xf>
    <xf numFmtId="164" fontId="3" fillId="0" borderId="38" xfId="42" applyNumberFormat="1" applyFont="1" applyFill="1" applyBorder="1" applyAlignment="1" applyProtection="1">
      <alignment/>
      <protection/>
    </xf>
    <xf numFmtId="164" fontId="3" fillId="0" borderId="39" xfId="42" applyNumberFormat="1" applyFont="1" applyFill="1" applyBorder="1" applyAlignment="1" applyProtection="1">
      <alignment/>
      <protection/>
    </xf>
    <xf numFmtId="164" fontId="3" fillId="0" borderId="40" xfId="42" applyNumberFormat="1" applyFont="1" applyFill="1" applyBorder="1" applyAlignment="1" applyProtection="1">
      <alignment/>
      <protection/>
    </xf>
    <xf numFmtId="0" fontId="4" fillId="0" borderId="41" xfId="55" applyFont="1" applyBorder="1" applyAlignment="1">
      <alignment vertical="top" wrapText="1"/>
      <protection/>
    </xf>
    <xf numFmtId="164" fontId="3" fillId="0" borderId="39" xfId="42" applyNumberFormat="1" applyFont="1" applyBorder="1" applyAlignment="1">
      <alignment/>
    </xf>
    <xf numFmtId="164" fontId="3" fillId="0" borderId="42" xfId="42" applyNumberFormat="1" applyFont="1" applyFill="1" applyBorder="1" applyAlignment="1" applyProtection="1">
      <alignment/>
      <protection/>
    </xf>
    <xf numFmtId="164" fontId="3" fillId="0" borderId="43" xfId="42" applyNumberFormat="1" applyFont="1" applyFill="1" applyBorder="1" applyAlignment="1" applyProtection="1">
      <alignment/>
      <protection/>
    </xf>
    <xf numFmtId="164" fontId="3" fillId="0" borderId="44" xfId="42" applyNumberFormat="1" applyFont="1" applyFill="1" applyBorder="1" applyAlignment="1" applyProtection="1">
      <alignment/>
      <protection/>
    </xf>
    <xf numFmtId="164" fontId="3" fillId="0" borderId="35" xfId="42" applyNumberFormat="1" applyFont="1" applyBorder="1" applyAlignment="1">
      <alignment/>
    </xf>
    <xf numFmtId="164" fontId="3" fillId="0" borderId="10" xfId="42" applyNumberFormat="1" applyFont="1" applyFill="1" applyBorder="1" applyAlignment="1" applyProtection="1">
      <alignment/>
      <protection/>
    </xf>
    <xf numFmtId="164" fontId="3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34" fillId="33" borderId="0" xfId="0" applyFont="1" applyFill="1" applyAlignment="1">
      <alignment/>
    </xf>
    <xf numFmtId="0" fontId="34" fillId="33" borderId="21" xfId="0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164" fontId="3" fillId="33" borderId="22" xfId="42" applyNumberFormat="1" applyFont="1" applyFill="1" applyBorder="1" applyAlignment="1" applyProtection="1">
      <alignment/>
      <protection/>
    </xf>
    <xf numFmtId="164" fontId="3" fillId="33" borderId="23" xfId="42" applyNumberFormat="1" applyFont="1" applyFill="1" applyBorder="1" applyAlignment="1" applyProtection="1">
      <alignment/>
      <protection/>
    </xf>
    <xf numFmtId="164" fontId="3" fillId="33" borderId="0" xfId="42" applyNumberFormat="1" applyFont="1" applyFill="1" applyAlignment="1">
      <alignment/>
    </xf>
    <xf numFmtId="164" fontId="3" fillId="33" borderId="0" xfId="42" applyNumberFormat="1" applyFont="1" applyFill="1" applyBorder="1" applyAlignment="1" applyProtection="1">
      <alignment/>
      <protection/>
    </xf>
    <xf numFmtId="164" fontId="3" fillId="33" borderId="24" xfId="42" applyNumberFormat="1" applyFont="1" applyFill="1" applyBorder="1" applyAlignment="1">
      <alignment/>
    </xf>
    <xf numFmtId="164" fontId="34" fillId="33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 wrapText="1" shrinkToFit="1"/>
    </xf>
    <xf numFmtId="0" fontId="2" fillId="0" borderId="21" xfId="0" applyFont="1" applyBorder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21" xfId="0" applyFont="1" applyBorder="1" applyAlignment="1">
      <alignment vertical="center" wrapText="1" shrinkToFit="1"/>
    </xf>
    <xf numFmtId="2" fontId="0" fillId="0" borderId="0" xfId="0" applyNumberFormat="1" applyFont="1" applyAlignment="1">
      <alignment/>
    </xf>
    <xf numFmtId="0" fontId="2" fillId="0" borderId="41" xfId="0" applyFont="1" applyBorder="1" applyAlignment="1">
      <alignment/>
    </xf>
    <xf numFmtId="164" fontId="3" fillId="0" borderId="45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vertical="center" wrapText="1" shrinkToFit="1"/>
    </xf>
    <xf numFmtId="164" fontId="3" fillId="0" borderId="13" xfId="42" applyNumberFormat="1" applyFont="1" applyBorder="1" applyAlignment="1">
      <alignment wrapText="1" shrinkToFit="1"/>
    </xf>
    <xf numFmtId="164" fontId="3" fillId="0" borderId="13" xfId="42" applyNumberFormat="1" applyFont="1" applyFill="1" applyBorder="1" applyAlignment="1" applyProtection="1">
      <alignment horizontal="right" wrapText="1" shrinkToFit="1"/>
      <protection/>
    </xf>
    <xf numFmtId="164" fontId="3" fillId="0" borderId="34" xfId="42" applyNumberFormat="1" applyFont="1" applyFill="1" applyBorder="1" applyAlignment="1" applyProtection="1">
      <alignment horizontal="right" wrapText="1" shrinkToFit="1"/>
      <protection/>
    </xf>
    <xf numFmtId="164" fontId="3" fillId="0" borderId="35" xfId="42" applyNumberFormat="1" applyFont="1" applyFill="1" applyBorder="1" applyAlignment="1" applyProtection="1">
      <alignment horizontal="right" wrapText="1" shrinkToFit="1"/>
      <protection/>
    </xf>
    <xf numFmtId="164" fontId="3" fillId="0" borderId="36" xfId="42" applyNumberFormat="1" applyFont="1" applyFill="1" applyBorder="1" applyAlignment="1" applyProtection="1">
      <alignment horizontal="right" wrapText="1" shrinkToFit="1"/>
      <protection/>
    </xf>
    <xf numFmtId="164" fontId="3" fillId="0" borderId="46" xfId="42" applyNumberFormat="1" applyFont="1" applyFill="1" applyBorder="1" applyAlignment="1" applyProtection="1">
      <alignment horizontal="right" wrapText="1" shrinkToFit="1"/>
      <protection/>
    </xf>
    <xf numFmtId="164" fontId="3" fillId="0" borderId="30" xfId="42" applyNumberFormat="1" applyFont="1" applyBorder="1" applyAlignment="1">
      <alignment/>
    </xf>
    <xf numFmtId="164" fontId="3" fillId="0" borderId="47" xfId="42" applyNumberFormat="1" applyFont="1" applyFill="1" applyBorder="1" applyAlignment="1" applyProtection="1">
      <alignment/>
      <protection/>
    </xf>
    <xf numFmtId="0" fontId="4" fillId="0" borderId="12" xfId="55" applyFont="1" applyBorder="1" applyAlignment="1">
      <alignment vertical="top" wrapText="1"/>
      <protection/>
    </xf>
    <xf numFmtId="164" fontId="3" fillId="0" borderId="13" xfId="42" applyNumberFormat="1" applyFont="1" applyFill="1" applyBorder="1" applyAlignment="1" applyProtection="1">
      <alignment/>
      <protection/>
    </xf>
    <xf numFmtId="164" fontId="3" fillId="0" borderId="46" xfId="42" applyNumberFormat="1" applyFont="1" applyFill="1" applyBorder="1" applyAlignment="1" applyProtection="1">
      <alignment/>
      <protection/>
    </xf>
    <xf numFmtId="0" fontId="4" fillId="0" borderId="21" xfId="55" applyFont="1" applyBorder="1" applyAlignment="1">
      <alignment vertical="top" wrapText="1"/>
      <protection/>
    </xf>
    <xf numFmtId="0" fontId="2" fillId="0" borderId="11" xfId="0" applyFont="1" applyBorder="1" applyAlignment="1">
      <alignment/>
    </xf>
    <xf numFmtId="164" fontId="3" fillId="0" borderId="48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164" fontId="3" fillId="0" borderId="49" xfId="42" applyNumberFormat="1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2" fillId="0" borderId="2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4" fillId="0" borderId="27" xfId="55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0" fillId="0" borderId="51" xfId="0" applyFont="1" applyBorder="1" applyAlignment="1">
      <alignment/>
    </xf>
    <xf numFmtId="0" fontId="5" fillId="0" borderId="0" xfId="55" applyFont="1" applyFill="1" applyBorder="1">
      <alignment/>
      <protection/>
    </xf>
    <xf numFmtId="0" fontId="8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/>
    </xf>
    <xf numFmtId="0" fontId="6" fillId="0" borderId="0" xfId="55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6" fillId="0" borderId="0" xfId="55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164" fontId="2" fillId="0" borderId="29" xfId="42" applyNumberFormat="1" applyFont="1" applyFill="1" applyBorder="1" applyAlignment="1" applyProtection="1">
      <alignment vertical="top"/>
      <protection/>
    </xf>
    <xf numFmtId="164" fontId="2" fillId="0" borderId="20" xfId="42" applyNumberFormat="1" applyFont="1" applyFill="1" applyBorder="1" applyAlignment="1" applyProtection="1">
      <alignment vertical="top"/>
      <protection/>
    </xf>
    <xf numFmtId="164" fontId="2" fillId="0" borderId="30" xfId="42" applyNumberFormat="1" applyFont="1" applyFill="1" applyBorder="1" applyAlignment="1" applyProtection="1">
      <alignment vertical="top"/>
      <protection/>
    </xf>
    <xf numFmtId="164" fontId="2" fillId="0" borderId="0" xfId="42" applyNumberFormat="1" applyFont="1" applyFill="1" applyBorder="1" applyAlignment="1" applyProtection="1">
      <alignment vertical="top"/>
      <protection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64" fontId="6" fillId="0" borderId="32" xfId="42" applyNumberFormat="1" applyFont="1" applyFill="1" applyBorder="1" applyAlignment="1" applyProtection="1">
      <alignment vertical="top" wrapText="1"/>
      <protection/>
    </xf>
    <xf numFmtId="164" fontId="6" fillId="0" borderId="24" xfId="42" applyNumberFormat="1" applyFont="1" applyFill="1" applyBorder="1" applyAlignment="1" applyProtection="1">
      <alignment vertical="top" wrapText="1"/>
      <protection/>
    </xf>
    <xf numFmtId="164" fontId="0" fillId="0" borderId="24" xfId="42" applyNumberFormat="1" applyFont="1" applyFill="1" applyBorder="1" applyAlignment="1" applyProtection="1">
      <alignment vertical="top"/>
      <protection/>
    </xf>
    <xf numFmtId="164" fontId="0" fillId="0" borderId="0" xfId="42" applyNumberFormat="1" applyFont="1" applyFill="1" applyBorder="1" applyAlignment="1" applyProtection="1">
      <alignment vertical="top"/>
      <protection/>
    </xf>
    <xf numFmtId="164" fontId="0" fillId="0" borderId="24" xfId="42" applyNumberFormat="1" applyFont="1" applyFill="1" applyBorder="1" applyAlignment="1" applyProtection="1">
      <alignment/>
      <protection/>
    </xf>
    <xf numFmtId="164" fontId="4" fillId="0" borderId="24" xfId="42" applyNumberFormat="1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>
      <alignment horizontal="center" vertical="top" wrapText="1"/>
    </xf>
    <xf numFmtId="164" fontId="6" fillId="0" borderId="34" xfId="42" applyNumberFormat="1" applyFont="1" applyFill="1" applyBorder="1" applyAlignment="1" applyProtection="1">
      <alignment vertical="top" wrapText="1"/>
      <protection/>
    </xf>
    <xf numFmtId="164" fontId="4" fillId="0" borderId="49" xfId="42" applyNumberFormat="1" applyFont="1" applyFill="1" applyBorder="1" applyAlignment="1" applyProtection="1">
      <alignment vertical="top" wrapText="1"/>
      <protection/>
    </xf>
    <xf numFmtId="164" fontId="0" fillId="0" borderId="49" xfId="42" applyNumberFormat="1" applyFont="1" applyFill="1" applyBorder="1" applyAlignment="1" applyProtection="1">
      <alignment vertical="top"/>
      <protection/>
    </xf>
    <xf numFmtId="164" fontId="0" fillId="0" borderId="35" xfId="42" applyNumberFormat="1" applyFont="1" applyFill="1" applyBorder="1" applyAlignment="1" applyProtection="1">
      <alignment vertical="top"/>
      <protection/>
    </xf>
    <xf numFmtId="164" fontId="0" fillId="0" borderId="49" xfId="42" applyNumberFormat="1" applyFont="1" applyFill="1" applyBorder="1" applyAlignment="1" applyProtection="1">
      <alignment/>
      <protection/>
    </xf>
    <xf numFmtId="164" fontId="4" fillId="0" borderId="29" xfId="42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64" fontId="4" fillId="0" borderId="52" xfId="42" applyNumberFormat="1" applyFont="1" applyFill="1" applyBorder="1" applyAlignment="1" applyProtection="1">
      <alignment vertical="top" wrapText="1"/>
      <protection/>
    </xf>
    <xf numFmtId="164" fontId="4" fillId="0" borderId="20" xfId="42" applyNumberFormat="1" applyFont="1" applyFill="1" applyBorder="1" applyAlignment="1" applyProtection="1">
      <alignment vertical="top" wrapText="1"/>
      <protection/>
    </xf>
    <xf numFmtId="164" fontId="2" fillId="0" borderId="53" xfId="42" applyNumberFormat="1" applyFont="1" applyFill="1" applyBorder="1" applyAlignment="1" applyProtection="1">
      <alignment vertical="top"/>
      <protection/>
    </xf>
    <xf numFmtId="0" fontId="13" fillId="0" borderId="21" xfId="0" applyFont="1" applyFill="1" applyBorder="1" applyAlignment="1">
      <alignment vertical="top" wrapText="1"/>
    </xf>
    <xf numFmtId="164" fontId="4" fillId="0" borderId="0" xfId="42" applyNumberFormat="1" applyFont="1" applyFill="1" applyBorder="1" applyAlignment="1" applyProtection="1">
      <alignment vertical="top" wrapText="1"/>
      <protection/>
    </xf>
    <xf numFmtId="164" fontId="4" fillId="0" borderId="32" xfId="42" applyNumberFormat="1" applyFont="1" applyFill="1" applyBorder="1" applyAlignment="1" applyProtection="1">
      <alignment vertical="top" wrapText="1"/>
      <protection/>
    </xf>
    <xf numFmtId="164" fontId="0" fillId="0" borderId="23" xfId="42" applyNumberFormat="1" applyFont="1" applyFill="1" applyBorder="1" applyAlignment="1" applyProtection="1">
      <alignment vertical="top"/>
      <protection/>
    </xf>
    <xf numFmtId="0" fontId="6" fillId="0" borderId="21" xfId="0" applyFont="1" applyFill="1" applyBorder="1" applyAlignment="1">
      <alignment vertical="top" wrapText="1"/>
    </xf>
    <xf numFmtId="164" fontId="6" fillId="0" borderId="0" xfId="42" applyNumberFormat="1" applyFont="1" applyFill="1" applyBorder="1" applyAlignment="1" applyProtection="1">
      <alignment vertical="top" wrapText="1"/>
      <protection/>
    </xf>
    <xf numFmtId="165" fontId="0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 indent="4"/>
    </xf>
    <xf numFmtId="164" fontId="0" fillId="0" borderId="43" xfId="42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164" fontId="2" fillId="0" borderId="17" xfId="42" applyNumberFormat="1" applyFont="1" applyFill="1" applyBorder="1" applyAlignment="1" applyProtection="1">
      <alignment vertical="top"/>
      <protection/>
    </xf>
    <xf numFmtId="0" fontId="4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64" fontId="4" fillId="0" borderId="34" xfId="42" applyNumberFormat="1" applyFont="1" applyFill="1" applyBorder="1" applyAlignment="1" applyProtection="1">
      <alignment vertical="top" wrapText="1"/>
      <protection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4" fontId="2" fillId="0" borderId="26" xfId="42" applyNumberFormat="1" applyFont="1" applyFill="1" applyBorder="1" applyAlignment="1" applyProtection="1">
      <alignment/>
      <protection/>
    </xf>
    <xf numFmtId="164" fontId="2" fillId="0" borderId="13" xfId="42" applyNumberFormat="1" applyFont="1" applyFill="1" applyBorder="1" applyAlignment="1" applyProtection="1">
      <alignment/>
      <protection/>
    </xf>
    <xf numFmtId="164" fontId="2" fillId="0" borderId="34" xfId="42" applyNumberFormat="1" applyFont="1" applyFill="1" applyBorder="1" applyAlignment="1" applyProtection="1">
      <alignment/>
      <protection/>
    </xf>
    <xf numFmtId="164" fontId="2" fillId="0" borderId="49" xfId="42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8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0" borderId="26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8" fontId="6" fillId="0" borderId="11" xfId="0" applyNumberFormat="1" applyFont="1" applyBorder="1" applyAlignment="1">
      <alignment horizontal="left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164" fontId="3" fillId="0" borderId="23" xfId="42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4" fontId="3" fillId="0" borderId="23" xfId="42" applyNumberFormat="1" applyFont="1" applyFill="1" applyBorder="1" applyAlignment="1" applyProtection="1">
      <alignment horizontal="center" vertical="center" wrapText="1"/>
      <protection/>
    </xf>
    <xf numFmtId="164" fontId="3" fillId="0" borderId="0" xfId="42" applyNumberFormat="1" applyFont="1" applyFill="1" applyBorder="1" applyAlignment="1" applyProtection="1">
      <alignment horizontal="center" vertical="center" wrapText="1"/>
      <protection/>
    </xf>
    <xf numFmtId="164" fontId="3" fillId="0" borderId="0" xfId="42" applyNumberFormat="1" applyFont="1" applyFill="1" applyBorder="1" applyAlignment="1">
      <alignment horizontal="center" vertical="center" wrapText="1"/>
    </xf>
    <xf numFmtId="164" fontId="0" fillId="0" borderId="11" xfId="42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>
      <alignment horizontal="center" wrapText="1"/>
    </xf>
    <xf numFmtId="166" fontId="0" fillId="0" borderId="11" xfId="42" applyNumberFormat="1" applyFont="1" applyFill="1" applyBorder="1" applyAlignment="1" applyProtection="1">
      <alignment horizontal="center" vertical="center" wrapText="1" shrinkToFit="1"/>
      <protection/>
    </xf>
    <xf numFmtId="164" fontId="51" fillId="0" borderId="11" xfId="42" applyNumberFormat="1" applyFont="1" applyFill="1" applyBorder="1" applyAlignment="1" applyProtection="1">
      <alignment horizontal="center" vertical="center" wrapText="1" shrinkToFit="1"/>
      <protection/>
    </xf>
    <xf numFmtId="166" fontId="2" fillId="0" borderId="11" xfId="42" applyNumberFormat="1" applyFont="1" applyFill="1" applyBorder="1" applyAlignment="1" applyProtection="1">
      <alignment horizont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BreakPreview" zoomScaleSheetLayoutView="100" zoomScalePageLayoutView="0" workbookViewId="0" topLeftCell="A1">
      <selection activeCell="G48" sqref="G48"/>
    </sheetView>
  </sheetViews>
  <sheetFormatPr defaultColWidth="12.57421875" defaultRowHeight="15"/>
  <cols>
    <col min="1" max="1" width="5.140625" style="3" customWidth="1"/>
    <col min="2" max="2" width="33.57421875" style="3" customWidth="1"/>
    <col min="3" max="3" width="9.140625" style="3" customWidth="1"/>
    <col min="4" max="4" width="10.28125" style="3" customWidth="1"/>
    <col min="5" max="5" width="11.57421875" style="3" customWidth="1"/>
    <col min="6" max="6" width="12.140625" style="3" customWidth="1"/>
    <col min="7" max="7" width="10.57421875" style="3" customWidth="1"/>
    <col min="8" max="8" width="10.140625" style="3" customWidth="1"/>
    <col min="9" max="9" width="10.00390625" style="3" customWidth="1"/>
    <col min="10" max="10" width="13.7109375" style="3" customWidth="1"/>
    <col min="11" max="11" width="12.57421875" style="3" customWidth="1"/>
    <col min="12" max="14" width="11.28125" style="3" customWidth="1"/>
    <col min="15" max="15" width="12.28125" style="3" customWidth="1"/>
    <col min="16" max="16384" width="12.57421875" style="3" customWidth="1"/>
  </cols>
  <sheetData>
    <row r="1" spans="1:10" ht="15">
      <c r="A1" s="1"/>
      <c r="B1" s="2" t="s">
        <v>0</v>
      </c>
      <c r="C1" s="3" t="s">
        <v>1</v>
      </c>
      <c r="F1" s="4"/>
      <c r="H1"/>
      <c r="I1"/>
      <c r="J1" s="2" t="s">
        <v>2</v>
      </c>
    </row>
    <row r="2" spans="1:10" ht="15">
      <c r="A2" s="5"/>
      <c r="B2" s="220" t="s">
        <v>3</v>
      </c>
      <c r="C2" s="220"/>
      <c r="D2" s="220"/>
      <c r="E2" s="220"/>
      <c r="F2" s="220"/>
      <c r="G2" s="220"/>
      <c r="H2" s="220"/>
      <c r="I2" s="220"/>
      <c r="J2" s="220"/>
    </row>
    <row r="3" spans="1:10" ht="15">
      <c r="A3" s="5"/>
      <c r="B3" s="220" t="s">
        <v>4</v>
      </c>
      <c r="C3" s="220"/>
      <c r="D3" s="220"/>
      <c r="E3" s="220"/>
      <c r="F3" s="220"/>
      <c r="G3" s="220"/>
      <c r="H3" s="220"/>
      <c r="I3" s="220"/>
      <c r="J3" s="221"/>
    </row>
    <row r="4" spans="2:10" ht="15">
      <c r="B4" s="222" t="s">
        <v>5</v>
      </c>
      <c r="C4" s="222"/>
      <c r="D4" s="222"/>
      <c r="E4" s="222"/>
      <c r="F4" s="222"/>
      <c r="G4" s="222"/>
      <c r="H4" s="222"/>
      <c r="I4" s="223"/>
      <c r="J4" s="6"/>
    </row>
    <row r="5" spans="2:10" ht="75.75" customHeight="1">
      <c r="B5" s="7" t="s">
        <v>6</v>
      </c>
      <c r="C5" s="224" t="s">
        <v>7</v>
      </c>
      <c r="D5" s="224"/>
      <c r="E5" s="225" t="s">
        <v>8</v>
      </c>
      <c r="F5" s="225"/>
      <c r="G5" s="226" t="s">
        <v>9</v>
      </c>
      <c r="H5" s="226"/>
      <c r="I5" s="227"/>
      <c r="J5" s="8" t="s">
        <v>10</v>
      </c>
    </row>
    <row r="6" spans="2:10" ht="15">
      <c r="B6" s="9"/>
      <c r="C6" s="10" t="s">
        <v>11</v>
      </c>
      <c r="D6" s="11" t="s">
        <v>12</v>
      </c>
      <c r="E6" s="12" t="s">
        <v>11</v>
      </c>
      <c r="F6" s="11" t="s">
        <v>12</v>
      </c>
      <c r="G6" s="12" t="s">
        <v>13</v>
      </c>
      <c r="H6" s="13" t="s">
        <v>12</v>
      </c>
      <c r="I6" s="10" t="s">
        <v>14</v>
      </c>
      <c r="J6" s="6"/>
    </row>
    <row r="7" spans="2:10" ht="15">
      <c r="B7" s="14" t="s">
        <v>15</v>
      </c>
      <c r="C7" s="15"/>
      <c r="D7" s="16"/>
      <c r="E7" s="17"/>
      <c r="F7" s="16"/>
      <c r="G7" s="17"/>
      <c r="H7" s="15"/>
      <c r="I7" s="15"/>
      <c r="J7" s="18"/>
    </row>
    <row r="8" spans="2:10" ht="15">
      <c r="B8" s="19" t="s">
        <v>16</v>
      </c>
      <c r="C8" s="20"/>
      <c r="D8" s="21"/>
      <c r="E8" s="22"/>
      <c r="F8" s="21"/>
      <c r="G8" s="22"/>
      <c r="H8" s="20"/>
      <c r="I8" s="20"/>
      <c r="J8" s="23"/>
    </row>
    <row r="9" spans="2:10" ht="15">
      <c r="B9" s="24" t="s">
        <v>17</v>
      </c>
      <c r="C9" s="25"/>
      <c r="D9" s="26">
        <v>654.49</v>
      </c>
      <c r="E9" s="27"/>
      <c r="F9" s="26">
        <v>166.79</v>
      </c>
      <c r="G9" s="27"/>
      <c r="H9" s="28">
        <f>F9</f>
        <v>166.79</v>
      </c>
      <c r="I9" s="28"/>
      <c r="J9" s="29"/>
    </row>
    <row r="10" spans="2:10" ht="15">
      <c r="B10" s="24" t="s">
        <v>18</v>
      </c>
      <c r="C10" s="25"/>
      <c r="D10" s="26">
        <v>0</v>
      </c>
      <c r="E10" s="27"/>
      <c r="F10" s="26">
        <f>D10</f>
        <v>0</v>
      </c>
      <c r="G10" s="27"/>
      <c r="H10" s="28">
        <f>F10</f>
        <v>0</v>
      </c>
      <c r="I10" s="28"/>
      <c r="J10" s="29"/>
    </row>
    <row r="11" spans="2:10" ht="15">
      <c r="B11" s="30" t="s">
        <v>19</v>
      </c>
      <c r="C11" s="25"/>
      <c r="D11" s="26">
        <v>11394.8</v>
      </c>
      <c r="E11" s="27"/>
      <c r="F11" s="26">
        <v>4130.03</v>
      </c>
      <c r="G11" s="27"/>
      <c r="H11" s="28">
        <f>F11</f>
        <v>4130.03</v>
      </c>
      <c r="I11" s="28"/>
      <c r="J11" s="29"/>
    </row>
    <row r="12" spans="2:10" ht="15">
      <c r="B12" s="30" t="s">
        <v>20</v>
      </c>
      <c r="C12" s="25"/>
      <c r="D12" s="26">
        <v>0</v>
      </c>
      <c r="E12" s="27"/>
      <c r="F12" s="26">
        <f>D12</f>
        <v>0</v>
      </c>
      <c r="G12" s="27"/>
      <c r="H12" s="28">
        <f>F12</f>
        <v>0</v>
      </c>
      <c r="I12" s="28"/>
      <c r="J12" s="29"/>
    </row>
    <row r="13" spans="2:10" ht="15">
      <c r="B13" s="30" t="s">
        <v>21</v>
      </c>
      <c r="C13" s="25"/>
      <c r="D13" s="26">
        <v>238.11</v>
      </c>
      <c r="E13" s="27"/>
      <c r="F13" s="26">
        <v>504.13</v>
      </c>
      <c r="G13" s="27"/>
      <c r="H13" s="28">
        <f>F13</f>
        <v>504.13</v>
      </c>
      <c r="I13" s="28"/>
      <c r="J13" s="29"/>
    </row>
    <row r="14" spans="2:10" s="2" customFormat="1" ht="12.75">
      <c r="B14" s="31" t="s">
        <v>22</v>
      </c>
      <c r="C14" s="32"/>
      <c r="D14" s="33">
        <f>SUM(D9:D13)</f>
        <v>12287.4</v>
      </c>
      <c r="E14" s="34"/>
      <c r="F14" s="35">
        <f>SUM(F9:F13)</f>
        <v>4800.95</v>
      </c>
      <c r="G14" s="35">
        <f>SUM(G9:G13)</f>
        <v>0</v>
      </c>
      <c r="H14" s="35">
        <f>SUM(H9:H13)</f>
        <v>4800.95</v>
      </c>
      <c r="I14" s="36"/>
      <c r="J14" s="37"/>
    </row>
    <row r="15" spans="2:10" ht="15">
      <c r="B15" s="38" t="s">
        <v>23</v>
      </c>
      <c r="C15" s="39"/>
      <c r="D15" s="40"/>
      <c r="E15" s="41"/>
      <c r="F15" s="42">
        <f>D15</f>
        <v>0</v>
      </c>
      <c r="G15" s="43"/>
      <c r="H15" s="44"/>
      <c r="I15" s="45"/>
      <c r="J15" s="29"/>
    </row>
    <row r="16" spans="2:10" ht="15">
      <c r="B16" s="24" t="s">
        <v>24</v>
      </c>
      <c r="C16" s="25"/>
      <c r="D16" s="26">
        <v>167.53</v>
      </c>
      <c r="E16" s="27"/>
      <c r="F16" s="28">
        <f>60.44+D16</f>
        <v>227.97</v>
      </c>
      <c r="G16" s="46"/>
      <c r="H16" s="25">
        <f>F16</f>
        <v>227.97</v>
      </c>
      <c r="I16" s="47"/>
      <c r="J16" s="48">
        <f>27315.04+F16</f>
        <v>27543.010000000002</v>
      </c>
    </row>
    <row r="17" spans="2:10" ht="25.5">
      <c r="B17" s="24" t="s">
        <v>25</v>
      </c>
      <c r="C17" s="25"/>
      <c r="D17" s="26">
        <v>7534.64</v>
      </c>
      <c r="E17" s="27"/>
      <c r="F17" s="28">
        <f>7771.5+D17</f>
        <v>15306.14</v>
      </c>
      <c r="G17" s="46"/>
      <c r="H17" s="25">
        <f aca="true" t="shared" si="0" ref="H17:H23">F17</f>
        <v>15306.14</v>
      </c>
      <c r="I17" s="47"/>
      <c r="J17" s="48">
        <f>24585.45+D17</f>
        <v>32120.09</v>
      </c>
    </row>
    <row r="18" spans="2:10" ht="25.5">
      <c r="B18" s="49" t="s">
        <v>26</v>
      </c>
      <c r="C18" s="25"/>
      <c r="D18" s="26">
        <v>0</v>
      </c>
      <c r="E18" s="27"/>
      <c r="F18" s="28">
        <f>D18</f>
        <v>0</v>
      </c>
      <c r="G18" s="46"/>
      <c r="H18" s="25">
        <f t="shared" si="0"/>
        <v>0</v>
      </c>
      <c r="I18" s="47"/>
      <c r="J18" s="48">
        <v>0</v>
      </c>
    </row>
    <row r="19" spans="2:10" ht="25.5">
      <c r="B19" s="24" t="s">
        <v>27</v>
      </c>
      <c r="C19" s="25"/>
      <c r="D19" s="26">
        <v>6026</v>
      </c>
      <c r="E19" s="27"/>
      <c r="F19" s="28">
        <f>913.73+D19</f>
        <v>6939.73</v>
      </c>
      <c r="G19" s="46"/>
      <c r="H19" s="25">
        <f t="shared" si="0"/>
        <v>6939.73</v>
      </c>
      <c r="I19" s="47"/>
      <c r="J19" s="48">
        <f>3258.73+F19</f>
        <v>10198.46</v>
      </c>
    </row>
    <row r="20" spans="2:10" ht="25.5">
      <c r="B20" s="24" t="s">
        <v>28</v>
      </c>
      <c r="C20" s="25"/>
      <c r="D20" s="26">
        <v>899.88</v>
      </c>
      <c r="E20" s="27"/>
      <c r="F20" s="28">
        <f>1467.11+D20</f>
        <v>2366.99</v>
      </c>
      <c r="G20" s="46"/>
      <c r="H20" s="25">
        <f t="shared" si="0"/>
        <v>2366.99</v>
      </c>
      <c r="I20" s="47"/>
      <c r="J20" s="48">
        <f>10630.22+F20</f>
        <v>12997.21</v>
      </c>
    </row>
    <row r="21" spans="2:10" ht="15">
      <c r="B21" s="50" t="s">
        <v>29</v>
      </c>
      <c r="C21" s="25"/>
      <c r="D21" s="26">
        <v>0</v>
      </c>
      <c r="E21" s="27"/>
      <c r="F21" s="28">
        <f>D21</f>
        <v>0</v>
      </c>
      <c r="G21" s="46"/>
      <c r="H21" s="25">
        <f t="shared" si="0"/>
        <v>0</v>
      </c>
      <c r="I21" s="47"/>
      <c r="J21" s="48">
        <v>0</v>
      </c>
    </row>
    <row r="22" spans="2:10" ht="15">
      <c r="B22" s="24" t="s">
        <v>30</v>
      </c>
      <c r="C22" s="25"/>
      <c r="D22" s="26">
        <v>19.28</v>
      </c>
      <c r="E22" s="27"/>
      <c r="F22" s="28">
        <f>D22+5.53</f>
        <v>24.810000000000002</v>
      </c>
      <c r="G22" s="46"/>
      <c r="H22" s="25">
        <f t="shared" si="0"/>
        <v>24.810000000000002</v>
      </c>
      <c r="I22" s="47"/>
      <c r="J22" s="48">
        <f>11.75+F22</f>
        <v>36.56</v>
      </c>
    </row>
    <row r="23" spans="2:10" ht="15">
      <c r="B23" s="24" t="s">
        <v>31</v>
      </c>
      <c r="C23" s="25"/>
      <c r="D23" s="26"/>
      <c r="E23" s="27"/>
      <c r="F23" s="28"/>
      <c r="G23" s="46"/>
      <c r="H23" s="25">
        <f t="shared" si="0"/>
        <v>0</v>
      </c>
      <c r="I23" s="47"/>
      <c r="J23" s="48">
        <f>55.47+F23</f>
        <v>55.47</v>
      </c>
    </row>
    <row r="24" spans="2:10" ht="15">
      <c r="B24" s="51" t="s">
        <v>32</v>
      </c>
      <c r="C24" s="52"/>
      <c r="D24" s="53">
        <f>SUM(D16:D23)</f>
        <v>14647.33</v>
      </c>
      <c r="E24" s="27"/>
      <c r="F24" s="28">
        <f>SUM(F15:F23)</f>
        <v>24865.639999999996</v>
      </c>
      <c r="G24" s="54">
        <f>SUM(G15:G23)</f>
        <v>0</v>
      </c>
      <c r="H24" s="55">
        <f>SUM(H15:H23)</f>
        <v>24865.639999999996</v>
      </c>
      <c r="I24" s="56"/>
      <c r="J24" s="57">
        <f>SUM(J16:J23)</f>
        <v>82950.79999999999</v>
      </c>
    </row>
    <row r="25" spans="2:10" ht="15">
      <c r="B25" s="58" t="s">
        <v>33</v>
      </c>
      <c r="C25" s="39"/>
      <c r="D25" s="42">
        <f>D14+D24</f>
        <v>26934.73</v>
      </c>
      <c r="E25" s="59"/>
      <c r="F25" s="36">
        <f>F14+F24</f>
        <v>29666.589999999997</v>
      </c>
      <c r="G25" s="59">
        <f>G14+G24</f>
        <v>0</v>
      </c>
      <c r="H25" s="60">
        <f>H14+H24</f>
        <v>29666.589999999997</v>
      </c>
      <c r="I25" s="36"/>
      <c r="J25" s="61">
        <f>J24</f>
        <v>82950.79999999999</v>
      </c>
    </row>
    <row r="26" spans="2:10" ht="15">
      <c r="B26" s="62" t="s">
        <v>34</v>
      </c>
      <c r="C26" s="63"/>
      <c r="D26" s="64"/>
      <c r="E26" s="65"/>
      <c r="F26" s="66"/>
      <c r="G26" s="65"/>
      <c r="H26" s="67"/>
      <c r="I26" s="55"/>
      <c r="J26" s="68"/>
    </row>
    <row r="27" spans="2:10" ht="15">
      <c r="B27" s="50" t="s">
        <v>35</v>
      </c>
      <c r="C27" s="25"/>
      <c r="D27" s="26"/>
      <c r="E27" s="27"/>
      <c r="F27" s="26"/>
      <c r="G27" s="27"/>
      <c r="H27" s="69"/>
      <c r="I27" s="28"/>
      <c r="J27" s="48"/>
    </row>
    <row r="28" spans="2:10" ht="15">
      <c r="B28" s="70" t="s">
        <v>36</v>
      </c>
      <c r="C28" s="25"/>
      <c r="D28" s="26"/>
      <c r="E28" s="27"/>
      <c r="F28" s="26"/>
      <c r="G28" s="27"/>
      <c r="H28" s="69"/>
      <c r="I28" s="28"/>
      <c r="J28" s="48"/>
    </row>
    <row r="29" spans="2:12" s="71" customFormat="1" ht="15">
      <c r="B29" s="72" t="s">
        <v>37</v>
      </c>
      <c r="C29" s="73">
        <f>E29/4</f>
        <v>85.56</v>
      </c>
      <c r="D29" s="74">
        <v>167.53</v>
      </c>
      <c r="E29" s="75">
        <v>342.24</v>
      </c>
      <c r="F29" s="74">
        <v>227.97</v>
      </c>
      <c r="G29" s="75">
        <v>5442</v>
      </c>
      <c r="H29" s="76">
        <f>F29</f>
        <v>227.97</v>
      </c>
      <c r="I29" s="77">
        <f aca="true" t="shared" si="1" ref="I29:I41">G29-H29</f>
        <v>5214.03</v>
      </c>
      <c r="J29" s="78">
        <f>26354.18+D29</f>
        <v>26521.71</v>
      </c>
      <c r="L29" s="79"/>
    </row>
    <row r="30" spans="2:16" ht="15">
      <c r="B30" s="70" t="s">
        <v>38</v>
      </c>
      <c r="C30" s="25"/>
      <c r="D30" s="26"/>
      <c r="E30" s="27"/>
      <c r="F30" s="26"/>
      <c r="G30" s="27"/>
      <c r="H30" s="76">
        <f aca="true" t="shared" si="2" ref="H30:H44">F30</f>
        <v>0</v>
      </c>
      <c r="I30" s="28">
        <f t="shared" si="1"/>
        <v>0</v>
      </c>
      <c r="J30" s="29"/>
      <c r="K30"/>
      <c r="P30" s="80"/>
    </row>
    <row r="31" spans="2:16" ht="15">
      <c r="B31" s="24" t="s">
        <v>39</v>
      </c>
      <c r="C31" s="25">
        <f>E31/4</f>
        <v>3717.6175</v>
      </c>
      <c r="D31" s="26">
        <v>284.6</v>
      </c>
      <c r="E31" s="27">
        <v>14870.47</v>
      </c>
      <c r="F31" s="26">
        <f>505.3+D31</f>
        <v>789.9000000000001</v>
      </c>
      <c r="G31" s="27">
        <v>12666.9</v>
      </c>
      <c r="H31" s="76">
        <f t="shared" si="2"/>
        <v>789.9000000000001</v>
      </c>
      <c r="I31" s="28">
        <f t="shared" si="1"/>
        <v>11877</v>
      </c>
      <c r="J31" s="29">
        <f>11043.56+F31</f>
        <v>11833.46</v>
      </c>
      <c r="K31" s="81"/>
      <c r="M31" s="82"/>
      <c r="P31" s="80"/>
    </row>
    <row r="32" spans="2:16" ht="15">
      <c r="B32" s="24" t="s">
        <v>143</v>
      </c>
      <c r="C32" s="25"/>
      <c r="D32" s="26"/>
      <c r="E32" s="27"/>
      <c r="F32" s="26"/>
      <c r="G32" s="27">
        <v>1306.9</v>
      </c>
      <c r="H32" s="76"/>
      <c r="I32" s="28">
        <f t="shared" si="1"/>
        <v>1306.9</v>
      </c>
      <c r="J32" s="29"/>
      <c r="K32" s="81"/>
      <c r="M32" s="82"/>
      <c r="P32" s="80"/>
    </row>
    <row r="33" spans="2:16" ht="15">
      <c r="B33" s="24" t="s">
        <v>40</v>
      </c>
      <c r="C33" s="25"/>
      <c r="D33" s="26"/>
      <c r="E33" s="27"/>
      <c r="F33" s="26"/>
      <c r="G33" s="27"/>
      <c r="H33" s="76">
        <f t="shared" si="2"/>
        <v>0</v>
      </c>
      <c r="I33" s="28">
        <f t="shared" si="1"/>
        <v>0</v>
      </c>
      <c r="J33" s="29">
        <f>14.24+F33</f>
        <v>14.24</v>
      </c>
      <c r="K33" s="81"/>
      <c r="M33" s="82"/>
      <c r="P33" s="80"/>
    </row>
    <row r="34" spans="2:16" ht="15">
      <c r="B34" s="24" t="s">
        <v>41</v>
      </c>
      <c r="C34" s="25"/>
      <c r="D34" s="26"/>
      <c r="E34" s="27"/>
      <c r="F34" s="26"/>
      <c r="G34" s="27"/>
      <c r="H34" s="76">
        <f t="shared" si="2"/>
        <v>0</v>
      </c>
      <c r="I34" s="28">
        <f t="shared" si="1"/>
        <v>0</v>
      </c>
      <c r="J34" s="29">
        <f>223.25+F34</f>
        <v>223.25</v>
      </c>
      <c r="K34" s="81"/>
      <c r="M34" s="83"/>
      <c r="N34" s="83"/>
      <c r="O34" s="83"/>
      <c r="P34" s="83"/>
    </row>
    <row r="35" spans="2:13" ht="30">
      <c r="B35" s="84" t="s">
        <v>42</v>
      </c>
      <c r="C35" s="25"/>
      <c r="D35" s="26">
        <v>2896.7</v>
      </c>
      <c r="E35" s="27"/>
      <c r="F35" s="26">
        <v>2896.7</v>
      </c>
      <c r="G35" s="27">
        <v>9922.82</v>
      </c>
      <c r="H35" s="76">
        <f t="shared" si="2"/>
        <v>2896.7</v>
      </c>
      <c r="I35" s="28">
        <f t="shared" si="1"/>
        <v>7026.12</v>
      </c>
      <c r="J35" s="48">
        <v>2896.7</v>
      </c>
      <c r="K35" s="80"/>
      <c r="M35" s="82"/>
    </row>
    <row r="36" spans="2:10" ht="15">
      <c r="B36" s="84" t="s">
        <v>43</v>
      </c>
      <c r="C36" s="25"/>
      <c r="D36" s="26"/>
      <c r="E36" s="27"/>
      <c r="F36" s="26"/>
      <c r="G36" s="27"/>
      <c r="H36" s="76">
        <f t="shared" si="2"/>
        <v>0</v>
      </c>
      <c r="I36" s="28">
        <f t="shared" si="1"/>
        <v>0</v>
      </c>
      <c r="J36" s="48"/>
    </row>
    <row r="37" spans="2:10" ht="15">
      <c r="B37" s="85" t="s">
        <v>44</v>
      </c>
      <c r="C37" s="25">
        <f>E37/4</f>
        <v>3326.55</v>
      </c>
      <c r="D37" s="26"/>
      <c r="E37" s="27">
        <v>13306.2</v>
      </c>
      <c r="F37" s="26"/>
      <c r="G37" s="27"/>
      <c r="H37" s="76">
        <f t="shared" si="2"/>
        <v>0</v>
      </c>
      <c r="I37" s="28">
        <f t="shared" si="1"/>
        <v>0</v>
      </c>
      <c r="J37" s="48"/>
    </row>
    <row r="38" spans="2:16" ht="25.5">
      <c r="B38" s="24" t="s">
        <v>45</v>
      </c>
      <c r="C38" s="25"/>
      <c r="D38" s="26">
        <v>92.05</v>
      </c>
      <c r="E38" s="27"/>
      <c r="F38" s="26">
        <f>101.91+D38</f>
        <v>193.95999999999998</v>
      </c>
      <c r="G38" s="27">
        <v>6033.3</v>
      </c>
      <c r="H38" s="76">
        <f t="shared" si="2"/>
        <v>193.95999999999998</v>
      </c>
      <c r="I38" s="28">
        <f t="shared" si="1"/>
        <v>5839.34</v>
      </c>
      <c r="J38" s="48">
        <f>1893.8+F38</f>
        <v>2087.7599999999998</v>
      </c>
      <c r="M38" s="82"/>
      <c r="P38" s="86"/>
    </row>
    <row r="39" spans="2:16" ht="15">
      <c r="B39" s="24" t="s">
        <v>46</v>
      </c>
      <c r="C39" s="25"/>
      <c r="D39" s="26">
        <v>125.69</v>
      </c>
      <c r="E39" s="27"/>
      <c r="F39" s="26">
        <f>96.42+D39</f>
        <v>222.11</v>
      </c>
      <c r="G39" s="27">
        <v>1825.64</v>
      </c>
      <c r="H39" s="76">
        <f t="shared" si="2"/>
        <v>222.11</v>
      </c>
      <c r="I39" s="28">
        <f t="shared" si="1"/>
        <v>1603.5300000000002</v>
      </c>
      <c r="J39" s="48">
        <f>616.39+F39</f>
        <v>838.5</v>
      </c>
      <c r="M39" s="87"/>
      <c r="P39" s="86"/>
    </row>
    <row r="40" spans="2:16" ht="15">
      <c r="B40" s="24" t="s">
        <v>47</v>
      </c>
      <c r="C40" s="25"/>
      <c r="D40" s="26">
        <v>110.01</v>
      </c>
      <c r="E40" s="27"/>
      <c r="F40" s="26">
        <f>99.63+D40</f>
        <v>209.64</v>
      </c>
      <c r="G40" s="27">
        <f>1418.1-332.7</f>
        <v>1085.3999999999999</v>
      </c>
      <c r="H40" s="76">
        <f t="shared" si="2"/>
        <v>209.64</v>
      </c>
      <c r="I40" s="28">
        <f t="shared" si="1"/>
        <v>875.7599999999999</v>
      </c>
      <c r="J40" s="48">
        <f>F40+750.79</f>
        <v>960.43</v>
      </c>
      <c r="M40" s="87"/>
      <c r="P40" s="86"/>
    </row>
    <row r="41" spans="2:16" ht="15">
      <c r="B41" s="24" t="s">
        <v>48</v>
      </c>
      <c r="C41" s="25"/>
      <c r="D41" s="26">
        <v>17.93</v>
      </c>
      <c r="E41" s="27"/>
      <c r="F41" s="26">
        <f>49.38+D41</f>
        <v>67.31</v>
      </c>
      <c r="G41" s="27">
        <v>1551.58</v>
      </c>
      <c r="H41" s="76">
        <f t="shared" si="2"/>
        <v>67.31</v>
      </c>
      <c r="I41" s="28">
        <f t="shared" si="1"/>
        <v>1484.27</v>
      </c>
      <c r="J41" s="48">
        <f>F41+175.31</f>
        <v>242.62</v>
      </c>
      <c r="M41" s="86"/>
      <c r="P41" s="86"/>
    </row>
    <row r="42" spans="2:16" ht="15">
      <c r="B42" s="85" t="s">
        <v>49</v>
      </c>
      <c r="C42" s="228">
        <f>E42/4</f>
        <v>1377.1625</v>
      </c>
      <c r="D42" s="26">
        <v>57.77</v>
      </c>
      <c r="E42" s="230">
        <v>5508.65</v>
      </c>
      <c r="F42" s="26">
        <f>80.1+D42</f>
        <v>137.87</v>
      </c>
      <c r="G42" s="230">
        <f>24159.12-1218.88</f>
        <v>22940.239999999998</v>
      </c>
      <c r="H42" s="76">
        <f t="shared" si="2"/>
        <v>137.87</v>
      </c>
      <c r="I42" s="231">
        <f>G42-H42-H43-H44</f>
        <v>20041.769999999997</v>
      </c>
      <c r="J42" s="48">
        <f>F42+781.67</f>
        <v>919.54</v>
      </c>
      <c r="M42" s="86"/>
      <c r="P42" s="86"/>
    </row>
    <row r="43" spans="2:16" ht="25.5">
      <c r="B43" s="88" t="s">
        <v>50</v>
      </c>
      <c r="C43" s="229"/>
      <c r="D43" s="26">
        <v>899.88</v>
      </c>
      <c r="E43" s="229"/>
      <c r="F43" s="26">
        <f>1467.11+D43</f>
        <v>2366.99</v>
      </c>
      <c r="G43" s="230"/>
      <c r="H43" s="76">
        <f t="shared" si="2"/>
        <v>2366.99</v>
      </c>
      <c r="I43" s="232"/>
      <c r="J43" s="48">
        <f>8059.32+F43</f>
        <v>10426.31</v>
      </c>
      <c r="K43" s="89"/>
      <c r="M43" s="86"/>
      <c r="P43" s="86"/>
    </row>
    <row r="44" spans="2:16" ht="15">
      <c r="B44" s="88" t="s">
        <v>51</v>
      </c>
      <c r="C44" s="228"/>
      <c r="D44" s="26">
        <v>123.47</v>
      </c>
      <c r="E44" s="230"/>
      <c r="F44" s="26">
        <f>270.14+D44</f>
        <v>393.61</v>
      </c>
      <c r="G44" s="230"/>
      <c r="H44" s="76">
        <f t="shared" si="2"/>
        <v>393.61</v>
      </c>
      <c r="I44" s="232"/>
      <c r="J44" s="48">
        <f>F44+106.28</f>
        <v>499.89</v>
      </c>
      <c r="M44" s="86"/>
      <c r="P44" s="86"/>
    </row>
    <row r="45" spans="2:16" ht="15">
      <c r="B45" s="85" t="s">
        <v>52</v>
      </c>
      <c r="C45" s="25"/>
      <c r="D45" s="26">
        <f>SUM(D38:D44)</f>
        <v>1426.8</v>
      </c>
      <c r="E45" s="27"/>
      <c r="F45" s="26">
        <f>SUM(F38:F44)</f>
        <v>3591.49</v>
      </c>
      <c r="G45" s="28"/>
      <c r="H45" s="28">
        <f>SUM(H38:H44)</f>
        <v>3591.49</v>
      </c>
      <c r="I45" s="28"/>
      <c r="J45" s="48">
        <f>SUM(J38:J44)</f>
        <v>15975.05</v>
      </c>
      <c r="M45" s="86"/>
      <c r="N45" s="86"/>
      <c r="O45" s="86"/>
      <c r="P45" s="86"/>
    </row>
    <row r="46" spans="2:16" ht="15">
      <c r="B46" s="90" t="s">
        <v>53</v>
      </c>
      <c r="C46" s="63"/>
      <c r="D46" s="64"/>
      <c r="E46" s="91"/>
      <c r="F46" s="64"/>
      <c r="G46" s="91"/>
      <c r="H46" s="63"/>
      <c r="I46" s="60"/>
      <c r="J46" s="68">
        <v>-60.99</v>
      </c>
      <c r="M46" s="86"/>
      <c r="N46" s="86"/>
      <c r="O46" s="86"/>
      <c r="P46" s="86"/>
    </row>
    <row r="47" spans="2:16" ht="16.5" customHeight="1">
      <c r="B47" s="92" t="s">
        <v>54</v>
      </c>
      <c r="C47" s="93">
        <f>C29+C31+C37+C42</f>
        <v>8506.89</v>
      </c>
      <c r="D47" s="94">
        <f>D29+D30+D35+D45+D31</f>
        <v>4775.63</v>
      </c>
      <c r="E47" s="95">
        <f>E29+E31+E37+E42</f>
        <v>34027.56</v>
      </c>
      <c r="F47" s="96">
        <f>F29+F30+F35+F45+F31+F46</f>
        <v>7506.0599999999995</v>
      </c>
      <c r="G47" s="95">
        <f>G29+G30+G45+G31+G46+G38+G39+G40+G42+G35+G32+G41</f>
        <v>62774.78</v>
      </c>
      <c r="H47" s="96">
        <f>H29+H30+H35+H31+H45+H46</f>
        <v>7506.0599999999995</v>
      </c>
      <c r="I47" s="97">
        <f>SUM(I29:I46)</f>
        <v>55268.719999999994</v>
      </c>
      <c r="J47" s="98">
        <f>J29+J30+J31+J35+J33+J34+J45+J46</f>
        <v>57403.41999999999</v>
      </c>
      <c r="M47" s="82"/>
      <c r="N47" s="82"/>
      <c r="O47" s="82"/>
      <c r="P47" s="82"/>
    </row>
    <row r="48" spans="2:12" ht="25.5">
      <c r="B48" s="92" t="s">
        <v>55</v>
      </c>
      <c r="C48" s="52"/>
      <c r="D48" s="53"/>
      <c r="E48" s="27"/>
      <c r="F48" s="28"/>
      <c r="G48" s="43"/>
      <c r="H48" s="99"/>
      <c r="I48" s="45"/>
      <c r="J48" s="57">
        <v>1448.05</v>
      </c>
      <c r="L48" s="82"/>
    </row>
    <row r="49" spans="2:12" ht="15">
      <c r="B49" s="38" t="s">
        <v>56</v>
      </c>
      <c r="C49" s="39"/>
      <c r="D49" s="42"/>
      <c r="E49" s="43"/>
      <c r="F49" s="44"/>
      <c r="G49" s="43"/>
      <c r="H49" s="99"/>
      <c r="I49" s="45"/>
      <c r="J49" s="100"/>
      <c r="L49" s="82"/>
    </row>
    <row r="50" spans="2:10" ht="15">
      <c r="B50" s="24" t="s">
        <v>57</v>
      </c>
      <c r="C50" s="25"/>
      <c r="D50" s="28"/>
      <c r="E50" s="46"/>
      <c r="F50" s="28">
        <v>1.43</v>
      </c>
      <c r="G50" s="46"/>
      <c r="H50" s="25">
        <v>1.43</v>
      </c>
      <c r="I50" s="47"/>
      <c r="J50" s="47">
        <f>1546.27+F50</f>
        <v>1547.7</v>
      </c>
    </row>
    <row r="51" spans="2:10" ht="15">
      <c r="B51" s="24" t="s">
        <v>58</v>
      </c>
      <c r="C51" s="25"/>
      <c r="D51" s="28">
        <v>0</v>
      </c>
      <c r="E51" s="46"/>
      <c r="F51" s="28">
        <f>D51</f>
        <v>0</v>
      </c>
      <c r="G51" s="46"/>
      <c r="H51" s="25"/>
      <c r="I51" s="47"/>
      <c r="J51" s="47">
        <v>0</v>
      </c>
    </row>
    <row r="52" spans="2:10" ht="15">
      <c r="B52" s="24" t="s">
        <v>59</v>
      </c>
      <c r="C52" s="25"/>
      <c r="D52" s="28"/>
      <c r="E52" s="46"/>
      <c r="F52" s="28"/>
      <c r="G52" s="46"/>
      <c r="H52" s="25"/>
      <c r="I52" s="47"/>
      <c r="J52" s="47">
        <v>392.53</v>
      </c>
    </row>
    <row r="53" spans="2:10" ht="15">
      <c r="B53" s="101" t="s">
        <v>60</v>
      </c>
      <c r="C53" s="52"/>
      <c r="D53" s="102">
        <f>SUM(D50:D51)</f>
        <v>0</v>
      </c>
      <c r="E53" s="54"/>
      <c r="F53" s="55">
        <f>SUM(F50:F51)</f>
        <v>1.43</v>
      </c>
      <c r="G53" s="54">
        <f>SUM(G50:G51)</f>
        <v>0</v>
      </c>
      <c r="H53" s="55">
        <f>SUM(H50:H51)</f>
        <v>1.43</v>
      </c>
      <c r="I53" s="56"/>
      <c r="J53" s="103">
        <f>SUM(J50:J52)</f>
        <v>1940.23</v>
      </c>
    </row>
    <row r="54" spans="2:10" ht="15">
      <c r="B54" s="104" t="s">
        <v>61</v>
      </c>
      <c r="C54" s="25"/>
      <c r="D54" s="26"/>
      <c r="E54" s="27"/>
      <c r="F54" s="26"/>
      <c r="G54" s="27"/>
      <c r="H54" s="69"/>
      <c r="I54" s="28"/>
      <c r="J54" s="48"/>
    </row>
    <row r="55" spans="2:10" ht="15">
      <c r="B55" s="24" t="s">
        <v>62</v>
      </c>
      <c r="C55" s="25"/>
      <c r="D55" s="26"/>
      <c r="E55" s="27"/>
      <c r="F55" s="26"/>
      <c r="G55" s="27"/>
      <c r="H55" s="69"/>
      <c r="I55" s="28"/>
      <c r="J55" s="48"/>
    </row>
    <row r="56" spans="2:10" ht="15">
      <c r="B56" s="24" t="s">
        <v>63</v>
      </c>
      <c r="C56" s="25"/>
      <c r="D56" s="26"/>
      <c r="E56" s="27"/>
      <c r="F56" s="26"/>
      <c r="G56" s="27"/>
      <c r="H56" s="69"/>
      <c r="I56" s="28"/>
      <c r="J56" s="48"/>
    </row>
    <row r="57" spans="2:10" ht="15">
      <c r="B57" s="24" t="s">
        <v>64</v>
      </c>
      <c r="C57" s="25"/>
      <c r="D57" s="26">
        <v>18662.79</v>
      </c>
      <c r="E57" s="27"/>
      <c r="F57" s="26">
        <f>D57</f>
        <v>18662.79</v>
      </c>
      <c r="G57" s="27"/>
      <c r="H57" s="69">
        <f>F57</f>
        <v>18662.79</v>
      </c>
      <c r="I57" s="28"/>
      <c r="J57" s="48">
        <f>F57</f>
        <v>18662.79</v>
      </c>
    </row>
    <row r="58" spans="2:10" ht="15">
      <c r="B58" s="24" t="s">
        <v>65</v>
      </c>
      <c r="C58" s="25"/>
      <c r="D58" s="26">
        <v>2857.02</v>
      </c>
      <c r="E58" s="27"/>
      <c r="F58" s="26">
        <f>D58</f>
        <v>2857.02</v>
      </c>
      <c r="G58" s="27"/>
      <c r="H58" s="69">
        <f>F58</f>
        <v>2857.02</v>
      </c>
      <c r="I58" s="28"/>
      <c r="J58" s="48">
        <f>F58</f>
        <v>2857.02</v>
      </c>
    </row>
    <row r="59" spans="2:10" ht="15">
      <c r="B59" s="24" t="s">
        <v>66</v>
      </c>
      <c r="C59" s="25"/>
      <c r="D59" s="26">
        <v>233.58</v>
      </c>
      <c r="E59" s="27"/>
      <c r="F59" s="26">
        <f>D59</f>
        <v>233.58</v>
      </c>
      <c r="G59" s="27"/>
      <c r="H59" s="69">
        <f>F59</f>
        <v>233.58</v>
      </c>
      <c r="I59" s="28"/>
      <c r="J59" s="48">
        <f>F59</f>
        <v>233.58</v>
      </c>
    </row>
    <row r="60" spans="2:10" ht="15">
      <c r="B60" s="24" t="s">
        <v>67</v>
      </c>
      <c r="C60" s="25"/>
      <c r="D60" s="26">
        <v>405.71</v>
      </c>
      <c r="E60" s="27"/>
      <c r="F60" s="26">
        <f>D60</f>
        <v>405.71</v>
      </c>
      <c r="G60" s="27"/>
      <c r="H60" s="69">
        <f>F60</f>
        <v>405.71</v>
      </c>
      <c r="I60" s="28"/>
      <c r="J60" s="48">
        <f>F60</f>
        <v>405.71</v>
      </c>
    </row>
    <row r="61" spans="2:10" ht="15">
      <c r="B61" s="105" t="s">
        <v>68</v>
      </c>
      <c r="C61" s="32"/>
      <c r="D61" s="33">
        <f>SUM(D57:D60)</f>
        <v>22159.100000000002</v>
      </c>
      <c r="E61" s="33">
        <f>SUM(E57:E60)</f>
        <v>0</v>
      </c>
      <c r="F61" s="33">
        <f>SUM(F57:F60)</f>
        <v>22159.100000000002</v>
      </c>
      <c r="G61" s="33">
        <f>SUM(G57:G60)</f>
        <v>0</v>
      </c>
      <c r="H61" s="33">
        <f>SUM(H57:H60)</f>
        <v>22159.100000000002</v>
      </c>
      <c r="I61" s="36"/>
      <c r="J61" s="106">
        <f>F61</f>
        <v>22159.100000000002</v>
      </c>
    </row>
    <row r="62" spans="2:10" ht="15">
      <c r="B62" s="107" t="s">
        <v>69</v>
      </c>
      <c r="C62" s="52"/>
      <c r="D62" s="102">
        <f>D47+D53+D61</f>
        <v>26934.730000000003</v>
      </c>
      <c r="E62" s="59"/>
      <c r="F62" s="36">
        <f>F47+F53+F61</f>
        <v>29666.590000000004</v>
      </c>
      <c r="G62" s="59">
        <f>G47+G53+G61</f>
        <v>62774.78</v>
      </c>
      <c r="H62" s="60">
        <f>H47+H53+H61</f>
        <v>29666.590000000004</v>
      </c>
      <c r="I62" s="36"/>
      <c r="J62" s="108">
        <f>J47+J48+J53+J61</f>
        <v>82950.8</v>
      </c>
    </row>
    <row r="63" spans="2:10" ht="15">
      <c r="B63" s="2" t="s">
        <v>70</v>
      </c>
      <c r="J63" s="109"/>
    </row>
    <row r="64" spans="2:10" ht="30.75" customHeight="1">
      <c r="B64" s="7" t="s">
        <v>71</v>
      </c>
      <c r="C64" s="110" t="s">
        <v>72</v>
      </c>
      <c r="D64" s="226" t="s">
        <v>73</v>
      </c>
      <c r="E64" s="226"/>
      <c r="F64" s="226" t="s">
        <v>74</v>
      </c>
      <c r="G64" s="226"/>
      <c r="H64" s="226" t="s">
        <v>75</v>
      </c>
      <c r="I64" s="226"/>
      <c r="J64" s="109"/>
    </row>
    <row r="65" spans="2:10" ht="15">
      <c r="B65" s="70"/>
      <c r="C65" s="111"/>
      <c r="D65" s="233"/>
      <c r="E65" s="233"/>
      <c r="F65" s="234"/>
      <c r="G65" s="234"/>
      <c r="H65" s="234"/>
      <c r="I65" s="234"/>
      <c r="J65" s="109"/>
    </row>
    <row r="66" spans="2:10" ht="61.5" customHeight="1">
      <c r="B66" s="24" t="s">
        <v>76</v>
      </c>
      <c r="C66" s="112">
        <v>1</v>
      </c>
      <c r="D66" s="233">
        <f>D47</f>
        <v>4775.63</v>
      </c>
      <c r="E66" s="233"/>
      <c r="F66" s="235">
        <v>90</v>
      </c>
      <c r="G66" s="235"/>
      <c r="H66" s="233">
        <f>D66*F66%</f>
        <v>4298.067</v>
      </c>
      <c r="I66" s="233"/>
      <c r="J66" s="109"/>
    </row>
    <row r="67" spans="2:10" ht="15">
      <c r="B67" s="113" t="s">
        <v>77</v>
      </c>
      <c r="C67" s="114"/>
      <c r="D67" s="236">
        <f>SUM(D66)</f>
        <v>4775.63</v>
      </c>
      <c r="E67" s="236"/>
      <c r="F67" s="237">
        <v>0</v>
      </c>
      <c r="G67" s="237"/>
      <c r="H67" s="236">
        <f>SUM(H66)</f>
        <v>4298.067</v>
      </c>
      <c r="I67" s="236"/>
      <c r="J67" s="115"/>
    </row>
    <row r="68" ht="15">
      <c r="B68" s="116" t="s">
        <v>78</v>
      </c>
    </row>
    <row r="69" spans="1:10" ht="31.5" customHeight="1">
      <c r="A69" s="117">
        <v>1</v>
      </c>
      <c r="B69" s="238" t="s">
        <v>79</v>
      </c>
      <c r="C69" s="238"/>
      <c r="D69" s="238"/>
      <c r="E69" s="238"/>
      <c r="F69" s="238"/>
      <c r="G69" s="238"/>
      <c r="H69" s="238"/>
      <c r="I69" s="238"/>
      <c r="J69" s="238"/>
    </row>
    <row r="70" spans="1:10" ht="21" customHeight="1">
      <c r="A70" s="117">
        <v>2</v>
      </c>
      <c r="B70" s="238" t="s">
        <v>80</v>
      </c>
      <c r="C70" s="238"/>
      <c r="D70" s="238"/>
      <c r="E70" s="238"/>
      <c r="F70" s="238"/>
      <c r="G70" s="238"/>
      <c r="H70" s="238"/>
      <c r="I70" s="238"/>
      <c r="J70" s="238"/>
    </row>
    <row r="71" spans="1:10" ht="32.25" customHeight="1">
      <c r="A71" s="117">
        <v>3</v>
      </c>
      <c r="B71" s="238" t="s">
        <v>81</v>
      </c>
      <c r="C71" s="238"/>
      <c r="D71" s="238"/>
      <c r="E71" s="238"/>
      <c r="F71" s="238"/>
      <c r="G71" s="238"/>
      <c r="H71" s="238"/>
      <c r="I71" s="238"/>
      <c r="J71" s="238"/>
    </row>
    <row r="72" spans="1:10" ht="23.25" customHeight="1">
      <c r="A72" s="117">
        <v>4</v>
      </c>
      <c r="B72" s="238" t="s">
        <v>82</v>
      </c>
      <c r="C72" s="238"/>
      <c r="D72" s="238"/>
      <c r="E72" s="238"/>
      <c r="F72" s="238"/>
      <c r="G72" s="238"/>
      <c r="H72" s="238"/>
      <c r="I72" s="238"/>
      <c r="J72" s="238"/>
    </row>
    <row r="73" spans="1:10" ht="39" customHeight="1">
      <c r="A73" s="117">
        <v>5</v>
      </c>
      <c r="B73" s="238" t="s">
        <v>83</v>
      </c>
      <c r="C73" s="238"/>
      <c r="D73" s="238"/>
      <c r="E73" s="238"/>
      <c r="F73" s="238"/>
      <c r="G73" s="238"/>
      <c r="H73" s="238"/>
      <c r="I73" s="238"/>
      <c r="J73" s="238"/>
    </row>
    <row r="74" spans="1:10" ht="39" customHeight="1">
      <c r="A74" s="117">
        <v>6</v>
      </c>
      <c r="B74" s="238" t="s">
        <v>84</v>
      </c>
      <c r="C74" s="238"/>
      <c r="D74" s="238"/>
      <c r="E74" s="238"/>
      <c r="F74" s="238"/>
      <c r="G74" s="238"/>
      <c r="H74" s="238"/>
      <c r="I74" s="238"/>
      <c r="J74" s="238"/>
    </row>
    <row r="75" spans="1:10" ht="57" customHeight="1">
      <c r="A75" s="117">
        <v>7</v>
      </c>
      <c r="B75" s="238" t="s">
        <v>85</v>
      </c>
      <c r="C75" s="238"/>
      <c r="D75" s="238"/>
      <c r="E75" s="238"/>
      <c r="F75" s="238"/>
      <c r="G75" s="238"/>
      <c r="H75" s="238"/>
      <c r="I75" s="238"/>
      <c r="J75" s="238"/>
    </row>
    <row r="76" spans="1:10" ht="24.75" customHeight="1">
      <c r="A76" s="117">
        <v>8</v>
      </c>
      <c r="B76" s="238" t="s">
        <v>86</v>
      </c>
      <c r="C76" s="238"/>
      <c r="D76" s="238"/>
      <c r="E76" s="238"/>
      <c r="F76" s="238"/>
      <c r="G76" s="238"/>
      <c r="H76" s="238"/>
      <c r="I76" s="238"/>
      <c r="J76" s="118"/>
    </row>
    <row r="77" spans="1:10" ht="24.75" customHeight="1">
      <c r="A77" s="117">
        <v>9</v>
      </c>
      <c r="B77" s="238" t="s">
        <v>87</v>
      </c>
      <c r="C77" s="238"/>
      <c r="D77" s="238"/>
      <c r="E77" s="238"/>
      <c r="F77" s="238"/>
      <c r="G77" s="238"/>
      <c r="H77" s="238"/>
      <c r="I77" s="238"/>
      <c r="J77" s="238"/>
    </row>
    <row r="78" spans="1:10" ht="24.75" customHeight="1">
      <c r="A78" s="117">
        <v>10</v>
      </c>
      <c r="B78" s="238" t="s">
        <v>140</v>
      </c>
      <c r="C78" s="238"/>
      <c r="D78" s="238"/>
      <c r="E78" s="238"/>
      <c r="F78" s="238"/>
      <c r="G78" s="238"/>
      <c r="H78" s="238"/>
      <c r="I78" s="238"/>
      <c r="J78" s="238"/>
    </row>
    <row r="79" spans="1:10" ht="33.75" customHeight="1">
      <c r="A79" s="117">
        <v>11</v>
      </c>
      <c r="B79" s="238" t="s">
        <v>141</v>
      </c>
      <c r="C79" s="238"/>
      <c r="D79" s="238"/>
      <c r="E79" s="238"/>
      <c r="F79" s="238"/>
      <c r="G79" s="238"/>
      <c r="H79" s="238"/>
      <c r="I79" s="238"/>
      <c r="J79" s="238"/>
    </row>
    <row r="80" spans="1:10" ht="24.75" customHeight="1">
      <c r="A80" s="117">
        <v>12</v>
      </c>
      <c r="B80" s="238" t="s">
        <v>88</v>
      </c>
      <c r="C80" s="238"/>
      <c r="D80" s="238"/>
      <c r="E80" s="238"/>
      <c r="F80" s="238"/>
      <c r="G80" s="238"/>
      <c r="H80" s="238"/>
      <c r="I80" s="238"/>
      <c r="J80" s="238"/>
    </row>
    <row r="81" spans="1:10" ht="56.25" customHeight="1">
      <c r="A81" s="117">
        <v>13</v>
      </c>
      <c r="B81" s="238" t="s">
        <v>89</v>
      </c>
      <c r="C81" s="238"/>
      <c r="D81" s="238"/>
      <c r="E81" s="238"/>
      <c r="F81" s="238"/>
      <c r="G81" s="238"/>
      <c r="H81" s="238"/>
      <c r="I81" s="238"/>
      <c r="J81" s="238"/>
    </row>
    <row r="82" spans="2:9" ht="30.75" customHeight="1">
      <c r="B82" s="119"/>
      <c r="C82" s="120"/>
      <c r="D82" s="243"/>
      <c r="E82" s="243"/>
      <c r="F82" s="243"/>
      <c r="G82" s="244"/>
      <c r="H82" s="244"/>
      <c r="I82" s="244"/>
    </row>
    <row r="83" spans="2:9" ht="30" customHeight="1">
      <c r="B83" s="121"/>
      <c r="C83" s="122"/>
      <c r="D83" s="243"/>
      <c r="E83" s="243"/>
      <c r="F83" s="243"/>
      <c r="G83" s="244"/>
      <c r="H83" s="244"/>
      <c r="I83" s="244"/>
    </row>
    <row r="84" spans="2:9" ht="35.25" customHeight="1">
      <c r="B84" s="123"/>
      <c r="C84" s="123"/>
      <c r="D84" s="239" t="s">
        <v>90</v>
      </c>
      <c r="E84" s="239"/>
      <c r="F84" s="239"/>
      <c r="G84" s="239" t="s">
        <v>91</v>
      </c>
      <c r="H84" s="239"/>
      <c r="I84" s="239"/>
    </row>
    <row r="85" spans="2:9" ht="20.25" customHeight="1">
      <c r="B85" s="123"/>
      <c r="C85" s="123"/>
      <c r="D85" s="239" t="s">
        <v>92</v>
      </c>
      <c r="E85" s="239"/>
      <c r="F85" s="5"/>
      <c r="G85" s="240" t="s">
        <v>93</v>
      </c>
      <c r="H85" s="240"/>
      <c r="I85" s="240"/>
    </row>
    <row r="86" spans="2:8" ht="15">
      <c r="B86" s="124"/>
      <c r="C86" s="241"/>
      <c r="D86" s="241"/>
      <c r="E86" s="5"/>
      <c r="F86" s="5"/>
      <c r="G86" s="5"/>
      <c r="H86" s="5"/>
    </row>
    <row r="87" ht="15">
      <c r="B87"/>
    </row>
    <row r="88" spans="2:6" ht="15">
      <c r="B88" s="242"/>
      <c r="C88" s="242"/>
      <c r="D88" s="242"/>
      <c r="E88" s="242"/>
      <c r="F88" s="5"/>
    </row>
    <row r="92" ht="15">
      <c r="D92" s="125"/>
    </row>
    <row r="96" ht="15">
      <c r="D96" s="126"/>
    </row>
    <row r="102" spans="12:15" ht="15">
      <c r="L102" s="126"/>
      <c r="M102" s="126"/>
      <c r="N102" s="126"/>
      <c r="O102" s="126"/>
    </row>
    <row r="108" spans="3:4" ht="15">
      <c r="C108" s="127"/>
      <c r="D108" s="127"/>
    </row>
    <row r="109" spans="3:4" ht="15">
      <c r="C109" s="127"/>
      <c r="D109" s="127"/>
    </row>
    <row r="111" spans="6:8" ht="15">
      <c r="F111" s="82"/>
      <c r="H111" s="80"/>
    </row>
    <row r="113" spans="3:4" ht="15">
      <c r="C113" s="89"/>
      <c r="D113" s="89"/>
    </row>
    <row r="117" spans="3:4" ht="15">
      <c r="C117" s="89"/>
      <c r="D117" s="128"/>
    </row>
  </sheetData>
  <sheetProtection/>
  <mergeCells count="43">
    <mergeCell ref="D85:E85"/>
    <mergeCell ref="G85:I85"/>
    <mergeCell ref="C86:D86"/>
    <mergeCell ref="B88:E88"/>
    <mergeCell ref="B78:J78"/>
    <mergeCell ref="B79:J79"/>
    <mergeCell ref="B80:J80"/>
    <mergeCell ref="B81:J81"/>
    <mergeCell ref="D82:F83"/>
    <mergeCell ref="G82:I83"/>
    <mergeCell ref="D84:F84"/>
    <mergeCell ref="G84:I84"/>
    <mergeCell ref="B72:J72"/>
    <mergeCell ref="B73:J73"/>
    <mergeCell ref="B74:J74"/>
    <mergeCell ref="B75:J75"/>
    <mergeCell ref="B76:I76"/>
    <mergeCell ref="B77:J77"/>
    <mergeCell ref="D67:E67"/>
    <mergeCell ref="F67:G67"/>
    <mergeCell ref="H67:I67"/>
    <mergeCell ref="B69:J69"/>
    <mergeCell ref="B70:J70"/>
    <mergeCell ref="B71:J71"/>
    <mergeCell ref="D65:E65"/>
    <mergeCell ref="F65:G65"/>
    <mergeCell ref="H65:I65"/>
    <mergeCell ref="D66:E66"/>
    <mergeCell ref="F66:G66"/>
    <mergeCell ref="H66:I66"/>
    <mergeCell ref="C42:C44"/>
    <mergeCell ref="E42:E44"/>
    <mergeCell ref="G42:G44"/>
    <mergeCell ref="I42:I44"/>
    <mergeCell ref="D64:E64"/>
    <mergeCell ref="F64:G64"/>
    <mergeCell ref="H64:I64"/>
    <mergeCell ref="B2:J2"/>
    <mergeCell ref="B3:J3"/>
    <mergeCell ref="B4:I4"/>
    <mergeCell ref="C5:D5"/>
    <mergeCell ref="E5:F5"/>
    <mergeCell ref="G5:I5"/>
  </mergeCells>
  <printOptions gridLines="1" horizontalCentered="1" verticalCentered="1"/>
  <pageMargins left="0.7" right="0.7" top="0.75" bottom="0.75" header="0.3" footer="0.3"/>
  <pageSetup horizontalDpi="600" verticalDpi="600" orientation="portrait" scale="65" r:id="rId1"/>
  <rowBreaks count="1" manualBreakCount="1">
    <brk id="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3" sqref="B13"/>
    </sheetView>
  </sheetViews>
  <sheetFormatPr defaultColWidth="9.140625" defaultRowHeight="15"/>
  <cols>
    <col min="1" max="1" width="6.8515625" style="203" customWidth="1"/>
    <col min="2" max="2" width="40.140625" style="1" customWidth="1"/>
    <col min="3" max="3" width="11.57421875" style="1" customWidth="1"/>
    <col min="4" max="4" width="10.28125" style="1" customWidth="1"/>
    <col min="5" max="5" width="11.28125" style="1" customWidth="1"/>
    <col min="6" max="6" width="11.00390625" style="1" customWidth="1"/>
    <col min="7" max="7" width="10.28125" style="1" customWidth="1"/>
    <col min="8" max="8" width="13.28125" style="1" customWidth="1"/>
    <col min="9" max="9" width="14.57421875" style="130" customWidth="1"/>
    <col min="10" max="10" width="14.421875" style="1" customWidth="1"/>
    <col min="11" max="16384" width="9.140625" style="1" customWidth="1"/>
  </cols>
  <sheetData>
    <row r="1" spans="1:8" ht="15.75">
      <c r="A1" s="129"/>
      <c r="B1" s="247"/>
      <c r="C1" s="247"/>
      <c r="D1" s="247"/>
      <c r="E1" s="247"/>
      <c r="F1" s="247"/>
      <c r="G1" s="247"/>
      <c r="H1" s="247"/>
    </row>
    <row r="2" spans="1:8" ht="18.75" customHeight="1">
      <c r="A2" s="129"/>
      <c r="B2" s="131" t="s">
        <v>94</v>
      </c>
      <c r="C2" s="132"/>
      <c r="D2" s="132"/>
      <c r="E2" s="132"/>
      <c r="F2" s="132"/>
      <c r="G2" s="132"/>
      <c r="H2" s="133" t="s">
        <v>95</v>
      </c>
    </row>
    <row r="3" spans="1:8" ht="15.75">
      <c r="A3" s="134"/>
      <c r="B3" s="248" t="s">
        <v>96</v>
      </c>
      <c r="C3" s="249"/>
      <c r="D3" s="249"/>
      <c r="E3" s="249"/>
      <c r="F3" s="249"/>
      <c r="G3" s="249"/>
      <c r="H3" s="250"/>
    </row>
    <row r="4" spans="1:8" ht="15.75">
      <c r="A4" s="135"/>
      <c r="B4" s="251" t="s">
        <v>97</v>
      </c>
      <c r="C4" s="252"/>
      <c r="D4" s="252"/>
      <c r="E4" s="252"/>
      <c r="F4" s="252"/>
      <c r="G4" s="252"/>
      <c r="H4" s="253"/>
    </row>
    <row r="5" spans="1:8" ht="15.75">
      <c r="A5" s="135"/>
      <c r="B5" s="254" t="s">
        <v>98</v>
      </c>
      <c r="C5" s="255"/>
      <c r="D5" s="255"/>
      <c r="E5" s="255"/>
      <c r="F5" s="255"/>
      <c r="G5" s="255"/>
      <c r="H5" s="256"/>
    </row>
    <row r="6" spans="1:9" s="142" customFormat="1" ht="54" customHeight="1">
      <c r="A6" s="136" t="s">
        <v>99</v>
      </c>
      <c r="B6" s="137" t="s">
        <v>100</v>
      </c>
      <c r="C6" s="257" t="s">
        <v>13</v>
      </c>
      <c r="D6" s="258"/>
      <c r="E6" s="259"/>
      <c r="F6" s="138" t="s">
        <v>101</v>
      </c>
      <c r="G6" s="139" t="s">
        <v>102</v>
      </c>
      <c r="H6" s="140" t="s">
        <v>103</v>
      </c>
      <c r="I6" s="141"/>
    </row>
    <row r="7" spans="1:8" ht="25.5" customHeight="1">
      <c r="A7" s="143"/>
      <c r="B7" s="144"/>
      <c r="C7" s="145" t="s">
        <v>104</v>
      </c>
      <c r="D7" s="146" t="s">
        <v>105</v>
      </c>
      <c r="E7" s="147" t="s">
        <v>77</v>
      </c>
      <c r="F7" s="148" t="s">
        <v>12</v>
      </c>
      <c r="G7" s="149" t="s">
        <v>12</v>
      </c>
      <c r="H7" s="150" t="s">
        <v>12</v>
      </c>
    </row>
    <row r="8" spans="1:9" ht="25.5" customHeight="1">
      <c r="A8" s="151">
        <v>1</v>
      </c>
      <c r="B8" s="152" t="s">
        <v>106</v>
      </c>
      <c r="C8" s="153">
        <f aca="true" t="shared" si="0" ref="C8:H8">SUM(C10:C12)</f>
        <v>19871.9</v>
      </c>
      <c r="D8" s="153">
        <f t="shared" si="0"/>
        <v>21489.18</v>
      </c>
      <c r="E8" s="154">
        <f t="shared" si="0"/>
        <v>41361.08</v>
      </c>
      <c r="F8" s="154">
        <f t="shared" si="0"/>
        <v>595.9100000000001</v>
      </c>
      <c r="G8" s="155">
        <f t="shared" si="0"/>
        <v>3726.54</v>
      </c>
      <c r="H8" s="154">
        <f t="shared" si="0"/>
        <v>32719.45</v>
      </c>
      <c r="I8" s="156"/>
    </row>
    <row r="9" spans="1:8" ht="6.75" customHeight="1">
      <c r="A9" s="157"/>
      <c r="B9" s="158"/>
      <c r="C9" s="159"/>
      <c r="D9" s="159"/>
      <c r="E9" s="160"/>
      <c r="F9" s="161"/>
      <c r="G9" s="162">
        <f>F9</f>
        <v>0</v>
      </c>
      <c r="H9" s="163"/>
    </row>
    <row r="10" spans="1:9" ht="26.25" customHeight="1">
      <c r="A10" s="157"/>
      <c r="B10" s="158" t="s">
        <v>107</v>
      </c>
      <c r="C10" s="159">
        <v>18224.61</v>
      </c>
      <c r="D10" s="159">
        <f>1264.778*10</f>
        <v>12647.78</v>
      </c>
      <c r="E10" s="164">
        <f>SUM(C10:D10)</f>
        <v>30872.39</v>
      </c>
      <c r="F10" s="161">
        <f>34.06+468.73</f>
        <v>502.79</v>
      </c>
      <c r="G10" s="162">
        <f>F10+2245.75+788.02</f>
        <v>3536.56</v>
      </c>
      <c r="H10" s="161">
        <f>27946.29+G10</f>
        <v>31482.850000000002</v>
      </c>
      <c r="I10" s="130">
        <f>3536.56-2748.54</f>
        <v>788.02</v>
      </c>
    </row>
    <row r="11" spans="1:9" ht="18" customHeight="1">
      <c r="A11" s="157"/>
      <c r="B11" s="158" t="s">
        <v>108</v>
      </c>
      <c r="C11" s="159">
        <v>1193.49</v>
      </c>
      <c r="D11" s="159">
        <f>75.57*10</f>
        <v>755.6999999999999</v>
      </c>
      <c r="E11" s="164">
        <f>SUM(C11:D11)</f>
        <v>1949.19</v>
      </c>
      <c r="F11" s="161">
        <f>90.66</f>
        <v>90.66</v>
      </c>
      <c r="G11" s="162">
        <f>F11+3.32+7.65</f>
        <v>101.63</v>
      </c>
      <c r="H11" s="163">
        <f>295.47+G11</f>
        <v>397.1</v>
      </c>
      <c r="I11" s="130">
        <f>101.63-93.98</f>
        <v>7.6499999999999915</v>
      </c>
    </row>
    <row r="12" spans="1:9" ht="27.75" customHeight="1">
      <c r="A12" s="165"/>
      <c r="B12" s="158" t="s">
        <v>109</v>
      </c>
      <c r="C12" s="166">
        <v>453.8</v>
      </c>
      <c r="D12" s="166">
        <f>808.57*10</f>
        <v>8085.700000000001</v>
      </c>
      <c r="E12" s="167">
        <f>SUM(C12:D12)</f>
        <v>8539.5</v>
      </c>
      <c r="F12" s="168">
        <v>2.46</v>
      </c>
      <c r="G12" s="169">
        <f>F12+85.89</f>
        <v>88.35</v>
      </c>
      <c r="H12" s="170">
        <f>751.15+G12</f>
        <v>839.5</v>
      </c>
      <c r="I12" s="130">
        <f>88.35-2.46</f>
        <v>85.89</v>
      </c>
    </row>
    <row r="13" spans="1:9" ht="15" customHeight="1">
      <c r="A13" s="151">
        <v>2</v>
      </c>
      <c r="B13" s="152" t="s">
        <v>110</v>
      </c>
      <c r="C13" s="171">
        <f>SUM(C15:C17)</f>
        <v>2486.83</v>
      </c>
      <c r="D13" s="171">
        <f>D15+D16+D17</f>
        <v>10543.52</v>
      </c>
      <c r="E13" s="171">
        <f>E15+E16+E17</f>
        <v>13030.350000000002</v>
      </c>
      <c r="F13" s="154">
        <f>F15+F16+F17</f>
        <v>97.74</v>
      </c>
      <c r="G13" s="155">
        <f>SUM(G15:G17)</f>
        <v>355.44</v>
      </c>
      <c r="H13" s="154">
        <f>SUM(H15:H17)</f>
        <v>974.95</v>
      </c>
      <c r="I13" s="156"/>
    </row>
    <row r="14" spans="1:8" ht="6.75" customHeight="1">
      <c r="A14" s="157"/>
      <c r="B14" s="172"/>
      <c r="C14" s="159"/>
      <c r="D14" s="159"/>
      <c r="E14" s="164"/>
      <c r="F14" s="161"/>
      <c r="G14" s="162">
        <f>F14</f>
        <v>0</v>
      </c>
      <c r="H14" s="163"/>
    </row>
    <row r="15" spans="1:8" ht="19.5" customHeight="1">
      <c r="A15" s="157"/>
      <c r="B15" s="158" t="s">
        <v>111</v>
      </c>
      <c r="C15" s="159">
        <v>1402.24</v>
      </c>
      <c r="D15" s="159">
        <v>3381.6</v>
      </c>
      <c r="E15" s="164">
        <f>SUM(C15:D15)</f>
        <v>4783.84</v>
      </c>
      <c r="F15" s="161">
        <v>18.97</v>
      </c>
      <c r="G15" s="162">
        <f>F15+123.87</f>
        <v>142.84</v>
      </c>
      <c r="H15" s="163">
        <f>102.89+G15</f>
        <v>245.73000000000002</v>
      </c>
    </row>
    <row r="16" spans="1:9" ht="16.5" customHeight="1">
      <c r="A16" s="157"/>
      <c r="B16" s="158" t="s">
        <v>112</v>
      </c>
      <c r="C16" s="159">
        <v>871.3</v>
      </c>
      <c r="D16" s="159">
        <v>7161.92</v>
      </c>
      <c r="E16" s="164">
        <f>SUM(C16:D16)</f>
        <v>8033.22</v>
      </c>
      <c r="F16" s="161">
        <f>72.96+5.81</f>
        <v>78.77</v>
      </c>
      <c r="G16" s="162">
        <f>F16+87.32+46.15</f>
        <v>212.23999999999998</v>
      </c>
      <c r="H16" s="163">
        <f>381.98+G16</f>
        <v>594.22</v>
      </c>
      <c r="I16" s="130">
        <f>212.24-166.09</f>
        <v>46.150000000000006</v>
      </c>
    </row>
    <row r="17" spans="1:8" ht="26.25" customHeight="1">
      <c r="A17" s="165"/>
      <c r="B17" s="158" t="s">
        <v>113</v>
      </c>
      <c r="C17" s="166">
        <v>213.29</v>
      </c>
      <c r="D17" s="166">
        <v>0</v>
      </c>
      <c r="E17" s="167">
        <f>SUM(C17:D17)</f>
        <v>213.29</v>
      </c>
      <c r="F17" s="168"/>
      <c r="G17" s="169">
        <f>F17+0.36</f>
        <v>0.36</v>
      </c>
      <c r="H17" s="170">
        <f>134.64+G17</f>
        <v>135</v>
      </c>
    </row>
    <row r="18" spans="1:9" ht="28.5" customHeight="1">
      <c r="A18" s="151">
        <v>3</v>
      </c>
      <c r="B18" s="173" t="s">
        <v>114</v>
      </c>
      <c r="C18" s="174">
        <f aca="true" t="shared" si="1" ref="C18:H18">SUM(C20:C23)</f>
        <v>11617.27</v>
      </c>
      <c r="D18" s="171">
        <f t="shared" si="1"/>
        <v>16255.970000000001</v>
      </c>
      <c r="E18" s="175">
        <f t="shared" si="1"/>
        <v>27873.24</v>
      </c>
      <c r="F18" s="176">
        <f t="shared" si="1"/>
        <v>3366.3399999999997</v>
      </c>
      <c r="G18" s="155">
        <f t="shared" si="1"/>
        <v>4036.23</v>
      </c>
      <c r="H18" s="154">
        <f t="shared" si="1"/>
        <v>9225.560000000001</v>
      </c>
      <c r="I18" s="156"/>
    </row>
    <row r="19" spans="1:8" ht="7.5" customHeight="1">
      <c r="A19" s="157"/>
      <c r="B19" s="177"/>
      <c r="C19" s="178"/>
      <c r="D19" s="179"/>
      <c r="E19" s="164">
        <f aca="true" t="shared" si="2" ref="E19:E34">SUM(C19:D19)</f>
        <v>0</v>
      </c>
      <c r="F19" s="162"/>
      <c r="G19" s="180">
        <f>F19</f>
        <v>0</v>
      </c>
      <c r="H19" s="163"/>
    </row>
    <row r="20" spans="1:10" ht="28.5" customHeight="1">
      <c r="A20" s="157"/>
      <c r="B20" s="181" t="s">
        <v>115</v>
      </c>
      <c r="C20" s="182">
        <v>3058.61</v>
      </c>
      <c r="D20" s="179">
        <v>11474.95</v>
      </c>
      <c r="E20" s="164">
        <f>SUM(C20:D20)</f>
        <v>14533.560000000001</v>
      </c>
      <c r="F20" s="162">
        <v>2951.3</v>
      </c>
      <c r="G20" s="180">
        <f>F20+156.49</f>
        <v>3107.79</v>
      </c>
      <c r="H20" s="163">
        <f>1366.6+G20</f>
        <v>4474.389999999999</v>
      </c>
      <c r="J20" s="183"/>
    </row>
    <row r="21" spans="1:10" s="4" customFormat="1" ht="18.75" customHeight="1">
      <c r="A21" s="184"/>
      <c r="B21" s="181" t="s">
        <v>116</v>
      </c>
      <c r="C21" s="182">
        <v>353.96</v>
      </c>
      <c r="D21" s="179">
        <f>34.715*10</f>
        <v>347.15000000000003</v>
      </c>
      <c r="E21" s="164">
        <f t="shared" si="2"/>
        <v>701.11</v>
      </c>
      <c r="F21" s="162">
        <v>12.91</v>
      </c>
      <c r="G21" s="180">
        <f>F21+33.37</f>
        <v>46.28</v>
      </c>
      <c r="H21" s="163">
        <f>155.44+G21</f>
        <v>201.72</v>
      </c>
      <c r="I21" s="130"/>
      <c r="J21" s="183"/>
    </row>
    <row r="22" spans="1:10" s="4" customFormat="1" ht="25.5">
      <c r="A22" s="184"/>
      <c r="B22" s="181" t="s">
        <v>117</v>
      </c>
      <c r="C22" s="182">
        <v>2473.21</v>
      </c>
      <c r="D22" s="179">
        <f>90.55*10</f>
        <v>905.5</v>
      </c>
      <c r="E22" s="164">
        <f t="shared" si="2"/>
        <v>3378.71</v>
      </c>
      <c r="F22" s="162">
        <v>17.47</v>
      </c>
      <c r="G22" s="180">
        <f>F22+1.96</f>
        <v>19.43</v>
      </c>
      <c r="H22" s="163">
        <f>465.25+G22</f>
        <v>484.68</v>
      </c>
      <c r="I22" s="130"/>
      <c r="J22" s="183"/>
    </row>
    <row r="23" spans="1:10" s="4" customFormat="1" ht="25.5">
      <c r="A23" s="184"/>
      <c r="B23" s="181" t="s">
        <v>118</v>
      </c>
      <c r="C23" s="182">
        <v>5731.49</v>
      </c>
      <c r="D23" s="179">
        <f>3528.37</f>
        <v>3528.37</v>
      </c>
      <c r="E23" s="164">
        <f t="shared" si="2"/>
        <v>9259.86</v>
      </c>
      <c r="F23" s="162">
        <f>F24+F25+F26</f>
        <v>384.65999999999997</v>
      </c>
      <c r="G23" s="180">
        <f>G24+G25+G26</f>
        <v>862.7299999999999</v>
      </c>
      <c r="H23" s="163">
        <f>H24+H25+H26</f>
        <v>4064.7700000000004</v>
      </c>
      <c r="I23" s="130"/>
      <c r="J23" s="183"/>
    </row>
    <row r="24" spans="1:10" ht="16.5" customHeight="1">
      <c r="A24" s="157"/>
      <c r="B24" s="185" t="s">
        <v>119</v>
      </c>
      <c r="C24" s="182"/>
      <c r="D24" s="159"/>
      <c r="E24" s="164">
        <f t="shared" si="2"/>
        <v>0</v>
      </c>
      <c r="F24" s="162"/>
      <c r="G24" s="180">
        <f>158.12+F24</f>
        <v>158.12</v>
      </c>
      <c r="H24" s="163">
        <f>95.79+G24</f>
        <v>253.91000000000003</v>
      </c>
      <c r="J24" s="183"/>
    </row>
    <row r="25" spans="1:8" ht="16.5" customHeight="1">
      <c r="A25" s="157"/>
      <c r="B25" s="185" t="s">
        <v>120</v>
      </c>
      <c r="C25" s="182"/>
      <c r="D25" s="159"/>
      <c r="E25" s="164">
        <f t="shared" si="2"/>
        <v>0</v>
      </c>
      <c r="F25" s="162"/>
      <c r="G25" s="180">
        <f>F25+0.04</f>
        <v>0.04</v>
      </c>
      <c r="H25" s="163">
        <f>78.06+G25</f>
        <v>78.10000000000001</v>
      </c>
    </row>
    <row r="26" spans="1:9" ht="15" customHeight="1">
      <c r="A26" s="165"/>
      <c r="B26" s="185" t="s">
        <v>121</v>
      </c>
      <c r="C26" s="182"/>
      <c r="D26" s="166"/>
      <c r="E26" s="167">
        <f t="shared" si="2"/>
        <v>0</v>
      </c>
      <c r="F26" s="169">
        <f>212.37+167.53+4.76</f>
        <v>384.65999999999997</v>
      </c>
      <c r="G26" s="186">
        <f>F26+80.69+239.22</f>
        <v>704.5699999999999</v>
      </c>
      <c r="H26" s="170">
        <f>3028.19+G26</f>
        <v>3732.76</v>
      </c>
      <c r="I26" s="187">
        <f>704.57-465.35</f>
        <v>239.22000000000003</v>
      </c>
    </row>
    <row r="27" spans="1:9" s="4" customFormat="1" ht="38.25">
      <c r="A27" s="188">
        <v>4</v>
      </c>
      <c r="B27" s="173" t="s">
        <v>122</v>
      </c>
      <c r="C27" s="189">
        <f>SUM(C29:C32)</f>
        <v>23098.43</v>
      </c>
      <c r="D27" s="153">
        <f>SUM(D29:D34)</f>
        <v>14486.2</v>
      </c>
      <c r="E27" s="153">
        <f>SUM(E29:E34)</f>
        <v>40225.75</v>
      </c>
      <c r="F27" s="154">
        <f>SUM(F29:F34)</f>
        <v>715.64</v>
      </c>
      <c r="G27" s="155">
        <f>SUM(G28:G34)</f>
        <v>2445.4700000000003</v>
      </c>
      <c r="H27" s="154">
        <f>SUM(H28:H34)</f>
        <v>15931.51</v>
      </c>
      <c r="I27" s="156"/>
    </row>
    <row r="28" spans="1:9" s="4" customFormat="1" ht="8.25" customHeight="1">
      <c r="A28" s="190"/>
      <c r="B28" s="177"/>
      <c r="C28" s="178"/>
      <c r="D28" s="179"/>
      <c r="E28" s="179">
        <f t="shared" si="2"/>
        <v>0</v>
      </c>
      <c r="F28" s="161"/>
      <c r="G28" s="162">
        <f>F28</f>
        <v>0</v>
      </c>
      <c r="H28" s="163"/>
      <c r="I28" s="130"/>
    </row>
    <row r="29" spans="1:9" ht="27.75" customHeight="1">
      <c r="A29" s="191"/>
      <c r="B29" s="181" t="s">
        <v>123</v>
      </c>
      <c r="C29" s="182">
        <v>14435.38</v>
      </c>
      <c r="D29" s="159">
        <v>0</v>
      </c>
      <c r="E29" s="179">
        <f t="shared" si="2"/>
        <v>14435.38</v>
      </c>
      <c r="F29" s="161">
        <f>420.58</f>
        <v>420.58</v>
      </c>
      <c r="G29" s="162">
        <f>F29+916.64+574.91</f>
        <v>1912.13</v>
      </c>
      <c r="H29" s="163">
        <f>9190.98+G29</f>
        <v>11103.11</v>
      </c>
      <c r="I29" s="130">
        <f>1912.13-1337.22</f>
        <v>574.9100000000001</v>
      </c>
    </row>
    <row r="30" spans="1:9" ht="18" customHeight="1">
      <c r="A30" s="191"/>
      <c r="B30" s="181" t="s">
        <v>124</v>
      </c>
      <c r="C30" s="182">
        <v>4560.69</v>
      </c>
      <c r="D30" s="159">
        <f>557.36*10</f>
        <v>5573.6</v>
      </c>
      <c r="E30" s="179">
        <f t="shared" si="2"/>
        <v>10134.29</v>
      </c>
      <c r="F30" s="161">
        <f>196.13+70.52</f>
        <v>266.65</v>
      </c>
      <c r="G30" s="162">
        <f>F30+102.23+134.29</f>
        <v>503.16999999999996</v>
      </c>
      <c r="H30" s="163">
        <f>3723.51+G30</f>
        <v>4226.68</v>
      </c>
      <c r="I30" s="130">
        <f>432.68-298.36</f>
        <v>134.32</v>
      </c>
    </row>
    <row r="31" spans="1:8" ht="24.75" customHeight="1">
      <c r="A31" s="191"/>
      <c r="B31" s="181" t="s">
        <v>125</v>
      </c>
      <c r="C31" s="182">
        <v>2573.05</v>
      </c>
      <c r="D31" s="159">
        <f>891.26*10</f>
        <v>8912.6</v>
      </c>
      <c r="E31" s="179">
        <f t="shared" si="2"/>
        <v>11485.650000000001</v>
      </c>
      <c r="F31" s="161">
        <v>28.41</v>
      </c>
      <c r="G31" s="162">
        <f>F31+1.76</f>
        <v>30.17</v>
      </c>
      <c r="H31" s="163">
        <f>571.55+G31</f>
        <v>601.7199999999999</v>
      </c>
    </row>
    <row r="32" spans="1:8" ht="15.75" customHeight="1">
      <c r="A32" s="191"/>
      <c r="B32" s="181" t="s">
        <v>126</v>
      </c>
      <c r="C32" s="182">
        <v>1529.31</v>
      </c>
      <c r="D32" s="159">
        <v>0</v>
      </c>
      <c r="E32" s="179">
        <f t="shared" si="2"/>
        <v>1529.31</v>
      </c>
      <c r="F32" s="161"/>
      <c r="G32" s="162"/>
      <c r="H32" s="163"/>
    </row>
    <row r="33" spans="1:8" ht="7.5" customHeight="1">
      <c r="A33" s="191"/>
      <c r="B33" s="181"/>
      <c r="C33" s="182"/>
      <c r="D33" s="159"/>
      <c r="E33" s="179">
        <f t="shared" si="2"/>
        <v>0</v>
      </c>
      <c r="F33" s="161"/>
      <c r="G33" s="162"/>
      <c r="H33" s="163"/>
    </row>
    <row r="34" spans="1:8" ht="15.75" customHeight="1">
      <c r="A34" s="191"/>
      <c r="B34" s="181" t="s">
        <v>127</v>
      </c>
      <c r="C34" s="182">
        <f>1592.84+1048.28</f>
        <v>2641.12</v>
      </c>
      <c r="D34" s="166">
        <v>0</v>
      </c>
      <c r="E34" s="192">
        <f t="shared" si="2"/>
        <v>2641.12</v>
      </c>
      <c r="F34" s="168"/>
      <c r="G34" s="169"/>
      <c r="H34" s="170"/>
    </row>
    <row r="35" spans="1:9" s="4" customFormat="1" ht="22.5" customHeight="1">
      <c r="A35" s="193"/>
      <c r="B35" s="194" t="s">
        <v>77</v>
      </c>
      <c r="C35" s="195">
        <f>C8+C13+C18+C27+C34</f>
        <v>59715.55</v>
      </c>
      <c r="D35" s="196">
        <f>D8+D13+D18+D27+D34</f>
        <v>62774.869999999995</v>
      </c>
      <c r="E35" s="197">
        <f>SUM(C35:D355)</f>
        <v>122490.42</v>
      </c>
      <c r="F35" s="198">
        <f>F8+F13+F18+F27</f>
        <v>4775.63</v>
      </c>
      <c r="G35" s="196">
        <f>G8+G13+G18+G27</f>
        <v>10563.68</v>
      </c>
      <c r="H35" s="198">
        <f>H8+H13+H18+H27</f>
        <v>58851.47000000001</v>
      </c>
      <c r="I35" s="199"/>
    </row>
    <row r="36" spans="1:10" ht="15">
      <c r="A36" s="200"/>
      <c r="B36" s="201"/>
      <c r="C36" s="200"/>
      <c r="D36" s="243"/>
      <c r="E36" s="243"/>
      <c r="F36" s="243"/>
      <c r="G36" s="260"/>
      <c r="H36" s="260"/>
      <c r="J36" s="202"/>
    </row>
    <row r="37" spans="1:8" ht="15">
      <c r="A37" s="200"/>
      <c r="B37" s="200"/>
      <c r="C37" s="200"/>
      <c r="D37" s="243"/>
      <c r="E37" s="243"/>
      <c r="F37" s="243"/>
      <c r="G37" s="260"/>
      <c r="H37" s="260"/>
    </row>
    <row r="38" spans="1:8" ht="15">
      <c r="A38" s="200"/>
      <c r="B38" s="200"/>
      <c r="C38" s="200"/>
      <c r="D38" s="243"/>
      <c r="E38" s="243"/>
      <c r="F38" s="243"/>
      <c r="G38" s="260"/>
      <c r="H38" s="260"/>
    </row>
    <row r="39" spans="1:8" ht="15">
      <c r="A39" s="200"/>
      <c r="B39" s="200"/>
      <c r="C39" s="200"/>
      <c r="D39" s="243"/>
      <c r="E39" s="243"/>
      <c r="F39" s="243"/>
      <c r="G39" s="260"/>
      <c r="H39" s="260"/>
    </row>
    <row r="40" spans="1:9" ht="15">
      <c r="A40" s="200"/>
      <c r="B40" s="200"/>
      <c r="C40" s="200"/>
      <c r="D40" s="243"/>
      <c r="E40" s="243"/>
      <c r="F40" s="243"/>
      <c r="G40" s="260"/>
      <c r="H40" s="260"/>
      <c r="I40" s="130">
        <f>4754.96-4705.11</f>
        <v>49.850000000000364</v>
      </c>
    </row>
    <row r="41" spans="1:8" ht="15">
      <c r="A41" s="200"/>
      <c r="B41" s="200"/>
      <c r="C41" s="200"/>
      <c r="D41" s="243"/>
      <c r="E41" s="243"/>
      <c r="F41" s="243"/>
      <c r="G41" s="260"/>
      <c r="H41" s="260"/>
    </row>
    <row r="42" spans="1:8" ht="35.25" customHeight="1">
      <c r="A42" s="200"/>
      <c r="B42" s="200"/>
      <c r="C42" s="200"/>
      <c r="D42" s="245" t="s">
        <v>90</v>
      </c>
      <c r="E42" s="245"/>
      <c r="F42" s="245"/>
      <c r="G42" s="246" t="s">
        <v>128</v>
      </c>
      <c r="H42" s="246"/>
    </row>
    <row r="45" spans="6:7" ht="15">
      <c r="F45" s="202"/>
      <c r="G45" s="202"/>
    </row>
    <row r="46" spans="5:6" ht="15">
      <c r="E46" s="202"/>
      <c r="F46" s="202"/>
    </row>
  </sheetData>
  <sheetProtection/>
  <mergeCells count="9">
    <mergeCell ref="D42:F42"/>
    <mergeCell ref="G42:H42"/>
    <mergeCell ref="B1:H1"/>
    <mergeCell ref="B3:H3"/>
    <mergeCell ref="B4:H4"/>
    <mergeCell ref="B5:H5"/>
    <mergeCell ref="C6:E6"/>
    <mergeCell ref="D36:F41"/>
    <mergeCell ref="G36:H41"/>
  </mergeCells>
  <printOptions gridLines="1"/>
  <pageMargins left="0.7" right="0.7" top="0.75" bottom="0.75" header="0.3" footer="0.3"/>
  <pageSetup horizontalDpi="600" verticalDpi="600" orientation="portrait" scale="7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10" sqref="C10"/>
    </sheetView>
  </sheetViews>
  <sheetFormatPr defaultColWidth="34.57421875" defaultRowHeight="43.5" customHeight="1"/>
  <cols>
    <col min="1" max="1" width="6.57421875" style="0" customWidth="1"/>
    <col min="2" max="2" width="16.140625" style="0" customWidth="1"/>
    <col min="3" max="3" width="13.140625" style="0" customWidth="1"/>
    <col min="4" max="4" width="37.8515625" style="0" customWidth="1"/>
    <col min="5" max="5" width="15.00390625" style="0" customWidth="1"/>
    <col min="6" max="6" width="18.57421875" style="0" customWidth="1"/>
    <col min="7" max="7" width="20.57421875" style="0" customWidth="1"/>
    <col min="8" max="8" width="19.421875" style="0" customWidth="1"/>
  </cols>
  <sheetData>
    <row r="1" spans="1:6" ht="19.5" customHeight="1">
      <c r="A1" s="204" t="s">
        <v>129</v>
      </c>
      <c r="B1" s="2"/>
      <c r="F1" s="83" t="s">
        <v>130</v>
      </c>
    </row>
    <row r="2" spans="1:2" ht="18.75" customHeight="1">
      <c r="A2" s="204" t="s">
        <v>131</v>
      </c>
      <c r="B2" s="2"/>
    </row>
    <row r="3" ht="18" customHeight="1">
      <c r="A3" s="204" t="s">
        <v>132</v>
      </c>
    </row>
    <row r="4" ht="13.5" customHeight="1">
      <c r="H4" s="127" t="s">
        <v>133</v>
      </c>
    </row>
    <row r="5" spans="1:14" ht="30.75" customHeight="1">
      <c r="A5" s="205" t="s">
        <v>99</v>
      </c>
      <c r="B5" s="206" t="s">
        <v>134</v>
      </c>
      <c r="C5" s="207" t="s">
        <v>135</v>
      </c>
      <c r="D5" s="206" t="s">
        <v>136</v>
      </c>
      <c r="E5" s="206" t="s">
        <v>72</v>
      </c>
      <c r="F5" s="206" t="s">
        <v>137</v>
      </c>
      <c r="G5" s="206" t="s">
        <v>138</v>
      </c>
      <c r="H5" s="208" t="s">
        <v>139</v>
      </c>
      <c r="I5" s="209"/>
      <c r="J5" s="209"/>
      <c r="K5" s="209"/>
      <c r="L5" s="209"/>
      <c r="M5" s="209"/>
      <c r="N5" s="209"/>
    </row>
    <row r="6" spans="1:8" ht="18.75" customHeight="1">
      <c r="A6" s="210">
        <v>1</v>
      </c>
      <c r="B6" t="s">
        <v>144</v>
      </c>
      <c r="C6" s="212" t="s">
        <v>154</v>
      </c>
      <c r="D6" t="s">
        <v>146</v>
      </c>
      <c r="E6" s="262" t="s">
        <v>142</v>
      </c>
      <c r="F6" s="216">
        <v>177893204</v>
      </c>
      <c r="G6" s="216">
        <f>17789320+140000000</f>
        <v>157789320</v>
      </c>
      <c r="H6" s="217">
        <f>G6</f>
        <v>157789320</v>
      </c>
    </row>
    <row r="7" spans="1:8" ht="18" customHeight="1">
      <c r="A7" s="210">
        <v>2</v>
      </c>
      <c r="B7" t="s">
        <v>145</v>
      </c>
      <c r="C7" s="219" t="s">
        <v>155</v>
      </c>
      <c r="D7" t="s">
        <v>147</v>
      </c>
      <c r="E7" s="263"/>
      <c r="F7" s="216">
        <v>32956000</v>
      </c>
      <c r="G7" s="216">
        <f>3295600+4879377</f>
        <v>8174977</v>
      </c>
      <c r="H7" s="217">
        <f>G7</f>
        <v>8174977</v>
      </c>
    </row>
    <row r="8" spans="1:8" ht="15.75" customHeight="1">
      <c r="A8" s="210">
        <v>3</v>
      </c>
      <c r="B8" t="s">
        <v>148</v>
      </c>
      <c r="C8" s="212" t="s">
        <v>156</v>
      </c>
      <c r="D8" t="s">
        <v>151</v>
      </c>
      <c r="E8" s="263"/>
      <c r="F8" s="216">
        <v>72851828</v>
      </c>
      <c r="G8" s="216">
        <f>7285183+11780027</f>
        <v>19065210</v>
      </c>
      <c r="H8" s="217">
        <f>G8</f>
        <v>19065210</v>
      </c>
    </row>
    <row r="9" spans="1:8" ht="16.5" customHeight="1">
      <c r="A9" s="210">
        <v>4</v>
      </c>
      <c r="B9" t="s">
        <v>149</v>
      </c>
      <c r="C9" s="212" t="s">
        <v>157</v>
      </c>
      <c r="D9" t="s">
        <v>152</v>
      </c>
      <c r="E9" s="263"/>
      <c r="F9" s="216">
        <v>72433590</v>
      </c>
      <c r="G9" s="216">
        <v>7243359</v>
      </c>
      <c r="H9" s="217">
        <f>G9</f>
        <v>7243359</v>
      </c>
    </row>
    <row r="10" spans="1:8" ht="14.25" customHeight="1">
      <c r="A10" s="210">
        <v>5</v>
      </c>
      <c r="B10" t="s">
        <v>150</v>
      </c>
      <c r="C10" s="212" t="s">
        <v>158</v>
      </c>
      <c r="D10" t="s">
        <v>153</v>
      </c>
      <c r="E10" s="264"/>
      <c r="F10" s="216">
        <v>81999552</v>
      </c>
      <c r="G10" s="216">
        <f>8199955+65588230</f>
        <v>73788185</v>
      </c>
      <c r="H10" s="217">
        <f>G10</f>
        <v>73788185</v>
      </c>
    </row>
    <row r="11" spans="1:8" ht="14.25" customHeight="1">
      <c r="A11" s="210"/>
      <c r="B11" s="211"/>
      <c r="C11" s="212"/>
      <c r="D11" s="210"/>
      <c r="E11" s="210"/>
      <c r="F11" s="210"/>
      <c r="G11" s="213"/>
      <c r="H11" s="213"/>
    </row>
    <row r="12" spans="1:8" ht="18" customHeight="1">
      <c r="A12" s="210"/>
      <c r="B12" s="211"/>
      <c r="C12" s="212"/>
      <c r="D12" s="211"/>
      <c r="E12" s="211"/>
      <c r="F12" s="210"/>
      <c r="G12" s="210"/>
      <c r="H12" s="210"/>
    </row>
    <row r="13" spans="1:8" ht="18" customHeight="1">
      <c r="A13" s="210"/>
      <c r="B13" s="211"/>
      <c r="C13" s="212"/>
      <c r="D13" s="211"/>
      <c r="E13" s="211"/>
      <c r="F13" s="210"/>
      <c r="G13" s="214"/>
      <c r="H13" s="210"/>
    </row>
    <row r="14" spans="1:8" ht="15.75" customHeight="1">
      <c r="A14" s="210"/>
      <c r="B14" s="211"/>
      <c r="C14" s="212"/>
      <c r="D14" s="211"/>
      <c r="E14" s="211"/>
      <c r="F14" s="210"/>
      <c r="G14" s="214"/>
      <c r="H14" s="210"/>
    </row>
    <row r="15" spans="1:8" ht="16.5" customHeight="1">
      <c r="A15" s="210"/>
      <c r="B15" s="211"/>
      <c r="C15" s="212"/>
      <c r="D15" s="211"/>
      <c r="E15" s="211"/>
      <c r="F15" s="210"/>
      <c r="G15" s="214"/>
      <c r="H15" s="210"/>
    </row>
    <row r="16" spans="1:8" ht="15" customHeight="1">
      <c r="A16" s="210"/>
      <c r="B16" s="211"/>
      <c r="C16" s="212"/>
      <c r="D16" s="210"/>
      <c r="E16" s="210"/>
      <c r="F16" s="210"/>
      <c r="G16" s="214"/>
      <c r="H16" s="210"/>
    </row>
    <row r="17" spans="1:8" ht="18" customHeight="1">
      <c r="A17" s="210"/>
      <c r="B17" s="261"/>
      <c r="C17" s="261"/>
      <c r="D17" s="261"/>
      <c r="E17" s="215"/>
      <c r="F17" s="218">
        <f>SUM(F6:F16)</f>
        <v>438134174</v>
      </c>
      <c r="G17" s="218">
        <f>SUM(G6:G16)</f>
        <v>266061051</v>
      </c>
      <c r="H17" s="218">
        <f>SUM(H6:H16)</f>
        <v>266061051</v>
      </c>
    </row>
    <row r="18" ht="12.75" customHeight="1"/>
    <row r="19" ht="12.75" customHeight="1"/>
    <row r="20" ht="12.75" customHeight="1">
      <c r="G20" t="s">
        <v>91</v>
      </c>
    </row>
    <row r="21" ht="12.75" customHeight="1"/>
    <row r="22" ht="12.75" customHeight="1">
      <c r="E22" s="128"/>
    </row>
    <row r="23" ht="12.75" customHeight="1">
      <c r="E23" s="128"/>
    </row>
    <row r="24" ht="12.75" customHeight="1">
      <c r="E24" s="128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B17:D17"/>
    <mergeCell ref="E6:E10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TNHSP</dc:creator>
  <cp:keywords/>
  <dc:description/>
  <cp:lastModifiedBy>TNHSP</cp:lastModifiedBy>
  <cp:lastPrinted>2011-06-28T11:59:20Z</cp:lastPrinted>
  <dcterms:created xsi:type="dcterms:W3CDTF">2011-06-04T10:05:10Z</dcterms:created>
  <dcterms:modified xsi:type="dcterms:W3CDTF">2011-07-06T11:46:06Z</dcterms:modified>
  <cp:category/>
  <cp:version/>
  <cp:contentType/>
  <cp:contentStatus/>
</cp:coreProperties>
</file>